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40" windowHeight="11520" tabRatio="760" activeTab="0"/>
  </bookViews>
  <sheets>
    <sheet name="доходы (прил.1)" sheetId="1" r:id="rId1"/>
    <sheet name="расходы (прил.2)" sheetId="2" r:id="rId2"/>
    <sheet name="расходы целевки (прил.3)" sheetId="3" r:id="rId3"/>
    <sheet name="расходы (прил.4)" sheetId="4" r:id="rId4"/>
    <sheet name="Источники (прил.5)" sheetId="5" r:id="rId5"/>
  </sheets>
  <definedNames>
    <definedName name="_xlnm.Print_Area" localSheetId="4">'Источники (прил.5)'!$A$1:$E$15</definedName>
    <definedName name="_xlnm.Print_Area" localSheetId="1">'расходы (прил.2)'!$A$1:$K$47</definedName>
    <definedName name="_xlnm.Print_Area" localSheetId="3">'расходы (прил.4)'!$A$1:$N$157</definedName>
    <definedName name="_xlnm.Print_Area" localSheetId="2">'расходы целевки (прил.3)'!$A$1:$F$174</definedName>
  </definedNames>
  <calcPr fullCalcOnLoad="1"/>
</workbook>
</file>

<file path=xl/sharedStrings.xml><?xml version="1.0" encoding="utf-8"?>
<sst xmlns="http://schemas.openxmlformats.org/spreadsheetml/2006/main" count="1074" uniqueCount="465">
  <si>
    <t>Код бюджетной классификации</t>
  </si>
  <si>
    <t>Наименование доходов</t>
  </si>
  <si>
    <t>000 1 00 00000 00 0000 000</t>
  </si>
  <si>
    <t>Налоговые и неналоговые доходы, в том числе: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</si>
  <si>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</si>
  <si>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</si>
  <si>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</si>
  <si>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</si>
  <si>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</si>
  <si>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</si>
  <si>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</si>
  <si>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</si>
  <si>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841 1 11 05035 10 0000 120</t>
  </si>
  <si>
    <t>841 1 13 01995 10 0000 130</t>
  </si>
  <si>
    <t>841 1 17 05050 10 0000 180</t>
  </si>
  <si>
    <t>Безвозмездные поступления</t>
  </si>
  <si>
    <t>Итого: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</si>
  <si>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</si>
  <si>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802 1 11  05013 10 0000 120</t>
  </si>
  <si>
    <t>802 1 14 06013 10 0000 430</t>
  </si>
  <si>
    <t>руб.</t>
  </si>
  <si>
    <t>100 1 03 02000 01 0000 110</t>
  </si>
  <si>
    <t>000 2 00 00000 00 0000 000</t>
  </si>
  <si>
    <t>Налоговые</t>
  </si>
  <si>
    <t>Доходы, в том числе:</t>
  </si>
  <si>
    <t>Неналоговые доходы</t>
  </si>
  <si>
    <t>000 1 11 00000 00 0000 000</t>
  </si>
  <si>
    <t>841 1 13 01995 10 0013 130</t>
  </si>
  <si>
    <t>Доходы от организации и проведения культурно-массовых мероприятий</t>
  </si>
  <si>
    <t>841 1 13 01995 10 0017 130</t>
  </si>
  <si>
    <t>841 1 13 01995 10 0023 130</t>
  </si>
  <si>
    <t>Доходы от оказания банных услуг</t>
  </si>
  <si>
    <t>000 2 02 00000 00 0000 000</t>
  </si>
  <si>
    <t>Безвозмездные поступления от других бюджетов системы РФ</t>
  </si>
  <si>
    <t>Иные межбюдетные трансферты</t>
  </si>
  <si>
    <t>Прочие безвозмездные поступления (добровольные пожертвования)</t>
  </si>
  <si>
    <t>182 1 05 03000 01 0000 110</t>
  </si>
  <si>
    <t>Единый сельскохозяйственный налог</t>
  </si>
  <si>
    <t>841 2 02 35118 10 0000 151</t>
  </si>
  <si>
    <t>841 2 02 20041 10 0000 151</t>
  </si>
  <si>
    <t>841 2 02 29999 10 0000 151</t>
  </si>
  <si>
    <t>841 2 02 40014 10 0000 151</t>
  </si>
  <si>
    <t>841 2 02 49999 10 0000 151</t>
  </si>
  <si>
    <t>841 2 02 20051 10 0000 151</t>
  </si>
  <si>
    <t>841 2 02 10000 00 0000 151</t>
  </si>
  <si>
    <t>000 2 02 30000 00 0000 151</t>
  </si>
  <si>
    <t>000 2 02 40000 00 0000 151</t>
  </si>
  <si>
    <t>Земельный налог</t>
  </si>
  <si>
    <t>Акцизы по подакцизным товарам (продукции), производимым на территории РФ</t>
  </si>
  <si>
    <t>Субсидии бюджетам бюджетной системы РФ (межбюджетные субсидии)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</si>
  <si>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</si>
  <si>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 получателями средств бюджетов сельских поселений (Услуги по обеспечению функционирования и технического обслуж-я оборудования-базовой станции сотовой радиотелефонной связи)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</si>
  <si>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</si>
  <si>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</si>
  <si>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муниципальных, бюджетных и автономных учреждений)</t>
  </si>
  <si>
    <t>Прочие неналоговые доходы бюджетов сельских поселений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</si>
  <si>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</si>
  <si>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</si>
  <si>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бюджетной системы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</si>
  <si>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муниципальных, бюджетных и  автономных учреждений)</t>
  </si>
  <si>
    <t>182 1 06 06000 00 0000 110</t>
  </si>
  <si>
    <t>000 2 02 20000 00 0000 151</t>
  </si>
  <si>
    <t>Прочие доходы от оказания платных услуг (работ) получателями средств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</si>
  <si>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т.ч дорог в поселениях (за исключением автомобильных дорог  федерального значения)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</si>
  <si>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</si>
  <si>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</si>
  <si>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</si>
  <si>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</si>
  <si>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Код раздела и подраздела БК</t>
  </si>
  <si>
    <t>Наименование расходов</t>
  </si>
  <si>
    <t>за счет безвозмездных поступлений</t>
  </si>
  <si>
    <t>за счет собственных средств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</si>
  <si>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</si>
  <si>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</si>
  <si>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</si>
  <si>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</si>
  <si>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</si>
  <si>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</si>
  <si>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</si>
  <si>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</si>
  <si>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</si>
  <si>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</si>
  <si>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</si>
  <si>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</si>
  <si>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</si>
  <si>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</si>
  <si>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</si>
  <si>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</si>
  <si>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</si>
  <si>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</si>
  <si>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</si>
  <si>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</si>
  <si>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</si>
  <si>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</si>
  <si>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</si>
  <si>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</si>
  <si>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</si>
  <si>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</si>
  <si>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</si>
  <si>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</si>
  <si>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</si>
  <si>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</si>
  <si>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</si>
  <si>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</si>
  <si>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</si>
  <si>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</si>
  <si>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</si>
  <si>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</si>
  <si>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</si>
  <si>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</si>
  <si>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</si>
  <si>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</si>
  <si>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</si>
  <si>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</si>
  <si>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</si>
  <si>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</si>
  <si>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</si>
  <si>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</si>
  <si>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</si>
  <si>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</si>
  <si>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</si>
  <si>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</si>
  <si>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</si>
  <si>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</si>
  <si>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</si>
  <si>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</si>
  <si>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</si>
  <si>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</si>
  <si>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</si>
  <si>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</si>
  <si>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</si>
  <si>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</si>
  <si>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</si>
  <si>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 спорт</t>
  </si>
  <si>
    <t>Итого расходы:</t>
  </si>
  <si>
    <t>Дефицит/профицит</t>
  </si>
  <si>
    <t>Наименование</t>
  </si>
  <si>
    <t>КЦСР</t>
  </si>
  <si>
    <t>Вид расходов</t>
  </si>
  <si>
    <t>4</t>
  </si>
  <si>
    <t>Муниципальная программа "Развитие образования и молодежная политика в Кузнечихинском сельском поселении"</t>
  </si>
  <si>
    <t>02.0.00.00000</t>
  </si>
  <si>
    <t/>
  </si>
  <si>
    <t>ВЦП "Молодежь"</t>
  </si>
  <si>
    <t>02.1.00.00000</t>
  </si>
  <si>
    <t>Содействие развитию гражданственности, социальной зрелости молодёжи</t>
  </si>
  <si>
    <t>02.1.01.00000</t>
  </si>
  <si>
    <t>Проведение мероприятий для детей и молодежи</t>
  </si>
  <si>
    <t>02.1.01.46040</t>
  </si>
  <si>
    <t>Закупка товаров,  работ и услуг для государственных (муниципальных) нужд</t>
  </si>
  <si>
    <t>Муниципальная программа "Социальная поддержка населения в Кузнечихинском сельском поселении"</t>
  </si>
  <si>
    <t>03.0.00.00000</t>
  </si>
  <si>
    <t>ВЦП "Социальная поддержка населения Кузнечихинского сельского поселения на 2017-2019"</t>
  </si>
  <si>
    <t>03.1.00.00000</t>
  </si>
  <si>
    <t>Проведение массовых мероприятий, посвящённых праздничным и памятным датам</t>
  </si>
  <si>
    <t>03.1.01.00000</t>
  </si>
  <si>
    <t>Расходы на финансирование мероприятий, посвященных праздничным и памятным дням</t>
  </si>
  <si>
    <t>03.1.01.46050</t>
  </si>
  <si>
    <t>Социальная защита и поддержка граждан Кузнечихинского сельского поселения</t>
  </si>
  <si>
    <t>03.1.02.00000</t>
  </si>
  <si>
    <t>Адресная материальная помощь</t>
  </si>
  <si>
    <t>03.1.02.46060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</si>
  <si>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</si>
  <si>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</si>
  <si>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03.1.02.46070</t>
  </si>
  <si>
    <t>Муниципальная программа «Обеспечение доступным и комфортным жильём населения Кузнечихинского сельского поселения»</t>
  </si>
  <si>
    <t>05.0.00.00000</t>
  </si>
  <si>
    <t>МЦП "Поддержка молодых семей в приобретении (строительстве) жилья"</t>
  </si>
  <si>
    <t>05.1.00.00000</t>
  </si>
  <si>
    <t>Предоставлени молодым семьям социальных выплат на приобретение (строительство) жилья</t>
  </si>
  <si>
    <t>05.1.01.00000</t>
  </si>
  <si>
    <t>Субсидии на мероприятия подпрограммы "Обеспечение жильем молодых семей" в рамках федеральной целевой программы "Жилище"</t>
  </si>
  <si>
    <t>05.1.01.50200</t>
  </si>
  <si>
    <t>Субсидия на реализацию мероприятий подпрограммы "Государственная поддержка молодых семей в приобретении (строительстве) жилья"</t>
  </si>
  <si>
    <t>05.1.01.R0200</t>
  </si>
  <si>
    <t>МЦП "Переселение граждан из аварийного жилищного фонда Кузнечихинского сельского поселения ЯМР ЯО"</t>
  </si>
  <si>
    <t>05.3.00.00000</t>
  </si>
  <si>
    <t>Переселение граждан из аварийного жилищного фонда</t>
  </si>
  <si>
    <t>05.3.01.00000</t>
  </si>
  <si>
    <t>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реформирования жилищно-коммунального хозяйства</t>
  </si>
  <si>
    <t>05.3.01.95020</t>
  </si>
  <si>
    <t>Бюджетные инвестиции</t>
  </si>
  <si>
    <t>Субсидия на обеспечение мероприятий по переселению граждан из аварийного жилищного фонда за счет средств областного бюджета</t>
  </si>
  <si>
    <t>05.3.01.96020</t>
  </si>
  <si>
    <t>Муниципальная программа "Развитие культуры и туризма в Кузнечихинском сельском поселении"</t>
  </si>
  <si>
    <t>11.0.00.00000</t>
  </si>
  <si>
    <t>ВЦП "Основные направления сохранения и развития культуры и искусства в Кузнечихинском сельском поселении ЯМР"</t>
  </si>
  <si>
    <t>11.1.00.00000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</si>
  <si>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</si>
  <si>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11.1.01.00000</t>
  </si>
  <si>
    <t xml:space="preserve">Реализация мероприятий на сохранение и развитие культуры и искусства </t>
  </si>
  <si>
    <t>11.1.01.46090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</si>
  <si>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</si>
  <si>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</si>
  <si>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Иные бюджетные ассигнования</t>
  </si>
  <si>
    <t>Реализация мероприятий по проведению капитальных и текущих ремонтов муниципальных учреждений культуры</t>
  </si>
  <si>
    <t>11.1.01.46180</t>
  </si>
  <si>
    <t>11.1.01.R5900</t>
  </si>
  <si>
    <t>Удовлетворение культурных, информационных, образовательных потребностей жителей поселения, сохранение единого информационного пространства, увеличение количества пользователей библиотечных услуг</t>
  </si>
  <si>
    <t>11.1.02.00000</t>
  </si>
  <si>
    <t>Реализация мероприятий на сохранение единого информационного пространства в поселении</t>
  </si>
  <si>
    <t>11.1.02.46310</t>
  </si>
  <si>
    <t>Муниципальная программа "Развитие физической культуры и спорта в Кузнечихинском сельском поселении"</t>
  </si>
  <si>
    <t>13.0.00.00000</t>
  </si>
  <si>
    <t>ВЦП "Развитие физической культуры и спорта в Кузнечихинском сельском поселении"</t>
  </si>
  <si>
    <t>13.1.00.00000</t>
  </si>
  <si>
    <t>Повышение интереса населения Кузнечихинского сельского поселения к занятиям физической культурой и спортом</t>
  </si>
  <si>
    <t>13.1.01.00000</t>
  </si>
  <si>
    <t>Обеспечение деятельности учреждений, подведомственных учредителю в сфере физической культуры и спорта</t>
  </si>
  <si>
    <t>13.1.01.46110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</si>
  <si>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</si>
  <si>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13.1.02.00000</t>
  </si>
  <si>
    <t>Реализация мероприятий по развитию инфраструктуры и укреплению материально-технической базы</t>
  </si>
  <si>
    <t>13.1.02.46320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</si>
  <si>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</si>
  <si>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14.0.00.00000</t>
  </si>
  <si>
    <t>МЦП "Комплексная программа модернизации и реформирования жилищно-коммунального хозяйства Кузнечихинского сельского поселения"</t>
  </si>
  <si>
    <t>14.1.00.00000</t>
  </si>
  <si>
    <t>Осуществление мероприятий в области ЖКХ</t>
  </si>
  <si>
    <t>14.1.01.00000</t>
  </si>
  <si>
    <t>Реализация мероприятий в области жилищно-коммунального хозяйства</t>
  </si>
  <si>
    <t>14.1.01.46260</t>
  </si>
  <si>
    <t>Формирование фонда капитального ремонта многоквартирных домов</t>
  </si>
  <si>
    <t>14.1.02.00000</t>
  </si>
  <si>
    <t>Взносы на капитальный ремонт по помещениям МКД, находящимся в муниципальной собственности</t>
  </si>
  <si>
    <t>14.1.02.46130</t>
  </si>
  <si>
    <t>Организация сбора и вывоза ЖБО</t>
  </si>
  <si>
    <t>14.1.03.00000</t>
  </si>
  <si>
    <t>Реализация мероприятий по сбору и вывозу ЖБО</t>
  </si>
  <si>
    <t>14.1.03.46330</t>
  </si>
  <si>
    <t>Муниципальная целевая программа "Чистая вода"</t>
  </si>
  <si>
    <t>14.2.00.00000</t>
  </si>
  <si>
    <t>Строительство и реконструкция объектов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</si>
  <si>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</si>
  <si>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</si>
  <si>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14.2.01.46120</t>
  </si>
  <si>
    <t>Реализация мероприятий МЦП «Чистая вода»</t>
  </si>
  <si>
    <t>14.2.01.46300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</si>
  <si>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</si>
  <si>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14.2.01.10490</t>
  </si>
  <si>
    <t>МЦП "Комплексная программа благоустройства территории Кузнечихинского сельского поселения на 2017-2019 гг."</t>
  </si>
  <si>
    <t>14.5.00.00000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</si>
  <si>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</si>
  <si>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14.5.01.00000</t>
  </si>
  <si>
    <t>Уличное освещение</t>
  </si>
  <si>
    <t>14.5.01.46150</t>
  </si>
  <si>
    <t>Закупка товаров, работ и услуг для государственных (муниципальных) нужд</t>
  </si>
  <si>
    <t>Прочие мероприятия по благоустройству</t>
  </si>
  <si>
    <t>14.5.01.46230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</si>
  <si>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</si>
  <si>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14.5.02.00000</t>
  </si>
  <si>
    <t>Обеспечение деятельности подведомственных учреждений</t>
  </si>
  <si>
    <t>14.5.02.46240</t>
  </si>
  <si>
    <t>Озеленение</t>
  </si>
  <si>
    <t>14.5.02.46270</t>
  </si>
  <si>
    <t>Муниципальная программа «Эффективная власть в Кузнечихинском СП»</t>
  </si>
  <si>
    <t>21.0.00.00000</t>
  </si>
  <si>
    <t>МЦП «Развитие муниципальной службы в Администрации Кузнечихинского СП»</t>
  </si>
  <si>
    <t>21.1.00.00000</t>
  </si>
  <si>
    <t>Оценка недвижимости, признание прав и регулирование отношений по гос. и муниципальной собственности</t>
  </si>
  <si>
    <t>21.1.01.00000</t>
  </si>
  <si>
    <t>21.1.01.46250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</si>
  <si>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</si>
  <si>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</si>
  <si>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</si>
  <si>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21.1.02.46340</t>
  </si>
  <si>
    <t>Профессиональное развитие муниципальных служащих</t>
  </si>
  <si>
    <t>21.1.03.00000</t>
  </si>
  <si>
    <t>Мероприятия по повышению квалификации муниципальных служащих</t>
  </si>
  <si>
    <t>21.1.03.46350</t>
  </si>
  <si>
    <t>Создание условий для реализации программы "Эффективная власть в Кузнечихинском сельском поселении"</t>
  </si>
  <si>
    <t>21.1.05.00000</t>
  </si>
  <si>
    <t>Реализация мероприятий в области коммунального хозяйства</t>
  </si>
  <si>
    <t>21.1.05.46420</t>
  </si>
  <si>
    <t>Муниципальная программа "Развитие дорожного хозяйства в Кузнечихинском сельском поселении"</t>
  </si>
  <si>
    <t>24.0.00.00000</t>
  </si>
  <si>
    <t>МЦП "Сохранность муниципальных автомобильных дорог Кузнечихинского сельского поселения"</t>
  </si>
  <si>
    <t>24.1.00.00000</t>
  </si>
  <si>
    <t>Приведение в нормативное состояние автомобильных дорог местного значения, разработка рабочих проектов</t>
  </si>
  <si>
    <t>24.1.01.00000</t>
  </si>
  <si>
    <t>Реализация мероприятий муниципальной целевой программы "Сохранность автомобильных дорог"</t>
  </si>
  <si>
    <t>24.1.01.46160</t>
  </si>
  <si>
    <t>Ремонт и содержание автомобильных дорог</t>
  </si>
  <si>
    <t>24.1.01.10340</t>
  </si>
  <si>
    <t>Повышение безопасности дорожного движения на автомобильных дорогах местного значения</t>
  </si>
  <si>
    <t>24.1.02.00000</t>
  </si>
  <si>
    <t>Организация безопасности дорожного движения</t>
  </si>
  <si>
    <t>24.1.02.46360</t>
  </si>
  <si>
    <t>Непрограммные расходы</t>
  </si>
  <si>
    <t>50.0.00.00000</t>
  </si>
  <si>
    <t>Глава Кузнечихинского сельского поселения</t>
  </si>
  <si>
    <t>50.0.00.66010</t>
  </si>
  <si>
    <t>Центральный аппарат</t>
  </si>
  <si>
    <t>50.0.00.66020</t>
  </si>
  <si>
    <t>Муниципальный совет Кузнечихинского сельского поселения</t>
  </si>
  <si>
    <t>50.0.00.66030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</si>
  <si>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</si>
  <si>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50.0.00.66040</t>
  </si>
  <si>
    <t>Резервный фонд Кузнечихинского сельского поселения</t>
  </si>
  <si>
    <t>50.0.00.66050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</si>
  <si>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</si>
  <si>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50.0.00.66060</t>
  </si>
  <si>
    <t>Добровольная народная дружина Кузнечихинского сельского поселения</t>
  </si>
  <si>
    <t>50.0.00.66070</t>
  </si>
  <si>
    <t>Расходы на проведение выборов</t>
  </si>
  <si>
    <t>50.0.00.6608.0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</si>
  <si>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</si>
  <si>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</si>
  <si>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</si>
  <si>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</si>
  <si>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исполнение судебных актов</t>
  </si>
  <si>
    <t>50.0.00.66100</t>
  </si>
  <si>
    <t>Код КВСР</t>
  </si>
  <si>
    <t>Код раздела и подраздела КБ РФ</t>
  </si>
  <si>
    <t>КВР</t>
  </si>
  <si>
    <t>841</t>
  </si>
  <si>
    <t>Администрация Кузнечихинского сельского поселения</t>
  </si>
  <si>
    <t>Общегосударственные вопросы.</t>
  </si>
  <si>
    <t>Функционирование высшего должностного лица субъекта Российской Федерации и муниципального образования</t>
  </si>
  <si>
    <t>50.0.00.6601.0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</si>
  <si>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</si>
  <si>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50.0.00.6603.0</t>
  </si>
  <si>
    <t>50.0.00.6602.0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</si>
  <si>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</si>
  <si>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50.0.00.6604.0</t>
  </si>
  <si>
    <t>50.0.00.6605.0</t>
  </si>
  <si>
    <t>Резервный фонд Кузнечихинского сельского поселенияРезервный фонд Кузнечихинского сельского поселения</t>
  </si>
  <si>
    <t>21.1.01.4625.0</t>
  </si>
  <si>
    <t>Оценка недвижимости, признание прав и регулирование отношений по государственной и муниципальной собственности</t>
  </si>
  <si>
    <t>21.1.02.4634.0</t>
  </si>
  <si>
    <t>21.1.03.4635.0</t>
  </si>
  <si>
    <t>21.1.05.4642.0</t>
  </si>
  <si>
    <t>50.0.00.5118.0</t>
  </si>
  <si>
    <t xml:space="preserve"> 0300</t>
  </si>
  <si>
    <t>Национальная безопасность и правоохрательная деятельность</t>
  </si>
  <si>
    <t>50.0.00.6606.0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</si>
  <si>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</si>
  <si>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50.0.00.6607.0</t>
  </si>
  <si>
    <t>14.2.01.4630.0</t>
  </si>
  <si>
    <t>24.1.01.4616.0</t>
  </si>
  <si>
    <t>24.1.01.1034.0</t>
  </si>
  <si>
    <t>24.1.02.4636.0</t>
  </si>
  <si>
    <t>14.1.02.4613.0</t>
  </si>
  <si>
    <t>14.1.01.4626.0</t>
  </si>
  <si>
    <t>Реализация мероприятий в области жилищного и коммунального хозяйства</t>
  </si>
  <si>
    <t>14.1.03.4633.0</t>
  </si>
  <si>
    <t>14.5.01.4615.0</t>
  </si>
  <si>
    <t>14.5.01.4623.0</t>
  </si>
  <si>
    <t>14.5.02.4627.0</t>
  </si>
  <si>
    <t>Другие вопросы в области жилищно-коммунального хозяйства</t>
  </si>
  <si>
    <t>14.5.02.4624.0</t>
  </si>
  <si>
    <t>02.1.01.4604.0</t>
  </si>
  <si>
    <t xml:space="preserve">Культура, кинематография </t>
  </si>
  <si>
    <t>11.1.01.4609.0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</si>
  <si>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</si>
  <si>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</si>
  <si>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</si>
  <si>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03.1.02.4607.0</t>
  </si>
  <si>
    <t>Реализация мероприятий МЦП  "Поддержка молодых семей в приобретении (строительстве) жилья"</t>
  </si>
  <si>
    <t>03.1.01.4605.0</t>
  </si>
  <si>
    <t>Расходы на финансирование мероприятий посвященных праздничным и памятным дням</t>
  </si>
  <si>
    <t>03.1.02.4606.0</t>
  </si>
  <si>
    <t>Массовый спорт</t>
  </si>
  <si>
    <t>13.1.01.4611.0</t>
  </si>
  <si>
    <t>13.1.02.4632.0</t>
  </si>
  <si>
    <t xml:space="preserve">                               Итого:</t>
  </si>
  <si>
    <t>к решению Муниципального</t>
  </si>
  <si>
    <t>Cовета Кузнечихинского сельского</t>
  </si>
  <si>
    <t xml:space="preserve">Источники внутреннего </t>
  </si>
  <si>
    <t xml:space="preserve">финансирования дефицита бюджета Кузнечихинского сельского поселения </t>
  </si>
  <si>
    <t>№ п/п</t>
  </si>
  <si>
    <t>Код</t>
  </si>
  <si>
    <t>841 01 05 00 00 00 0000 000</t>
  </si>
  <si>
    <t>Изменение остатков средств на счетах по учету средств бюджета сельких поселений</t>
  </si>
  <si>
    <t>841 01 05 02 01 10 0000 510</t>
  </si>
  <si>
    <t>Увеличение прочих остатков денежных средств бюджетов сельских поселений</t>
  </si>
  <si>
    <t>841 01 05 02 01 10 0000 610</t>
  </si>
  <si>
    <t>Уменьшение прочих остатков денежных средств бюджетов сельских поселений</t>
  </si>
  <si>
    <t>ИТОГО источников внутреннего финансирования:</t>
  </si>
  <si>
    <t>Межбюджетные трансферты на передачу осуществления части полномочий в сфере культуры</t>
  </si>
  <si>
    <t>11.1.01.46430</t>
  </si>
  <si>
    <t>Муниципальная программа "Охрана окружающей среды в Кузнечихинском сельском поселении"</t>
  </si>
  <si>
    <t>12.0.00.00000</t>
  </si>
  <si>
    <t>МЦП "Обращение с твердыми бытовыми отходами на территории Кузнечихинского сельского поселения"</t>
  </si>
  <si>
    <t>12.2.00.00000</t>
  </si>
  <si>
    <t>Создание условий для повышения экологической культуры, модернизация инфраструктуры обращения с ТБО с  внедрением раздельного сбора и сортировки ТБО</t>
  </si>
  <si>
    <t>12.2.01.00000</t>
  </si>
  <si>
    <t>Реализация мероприятий МЦП "Обращение с твердыми бытовыми отходами на территории Кузнечихинского сельского поселения ЯМР"</t>
  </si>
  <si>
    <t>12.2.01.46100</t>
  </si>
  <si>
    <t>11.1.01.4643.0</t>
  </si>
  <si>
    <t>11.1.01.R5350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</si>
  <si>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</si>
  <si>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Капитальные вложения в объекты государственной (муниципальной) собственности</t>
  </si>
  <si>
    <t>ПЛАН 2018</t>
  </si>
  <si>
    <t>% исполнения</t>
  </si>
  <si>
    <t>план</t>
  </si>
  <si>
    <t>всего</t>
  </si>
  <si>
    <t>план 2018</t>
  </si>
  <si>
    <t>6</t>
  </si>
  <si>
    <t>Субсидия на повышение оплаты труда работников муниципальных учреждений в сфере культуры</t>
  </si>
  <si>
    <t>план 2018 год                                  (руб.)</t>
  </si>
  <si>
    <t>841 1 13 02995 10 0000 130</t>
  </si>
  <si>
    <t>841 1 17 01050 10 0000 180</t>
  </si>
  <si>
    <t>Прочие доходы от компенсации затрат бюджетов сельских поселений</t>
  </si>
  <si>
    <t>841 2 02 25497 10 0000 151</t>
  </si>
  <si>
    <t>Субсидии бюджетам сельских поселений на реализацию мероприятий по обеспечению жильём молодых семей</t>
  </si>
  <si>
    <t>841 2 02 25555 10 0000 151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</si>
  <si>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</si>
  <si>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факт 1 полугодие</t>
  </si>
  <si>
    <t>05.1.01.L4970</t>
  </si>
  <si>
    <t>Субсидия на государственную поддержку  молодых семей Ярославской области в приобретении (строительстве) жилья</t>
  </si>
  <si>
    <t>11.1.01.75350</t>
  </si>
  <si>
    <t>11.1.01.75900</t>
  </si>
  <si>
    <t>13.1.02.75350</t>
  </si>
  <si>
    <t>39.1.01.L5550</t>
  </si>
  <si>
    <t>Субсидии на формирование современной городской среды</t>
  </si>
  <si>
    <t>39.0.00.00000</t>
  </si>
  <si>
    <t>39.1.00.00000</t>
  </si>
  <si>
    <t>39.1.01.00000</t>
  </si>
  <si>
    <t>Муниципальная программа «Формирование комфортной городской среды»</t>
  </si>
  <si>
    <t>Муниципальная целевая программа «Решаем Вместе!»</t>
  </si>
  <si>
    <t>Повышение уровня благоустройства на территории Кузнечихинского сельского поселения ЯМР</t>
  </si>
  <si>
    <t>03.1.01.10110</t>
  </si>
  <si>
    <t>14.5.02.76150</t>
  </si>
  <si>
    <t>Субсидия на обеспечение трудоустройства несовершеннолетних граждан на временные рабочие места</t>
  </si>
  <si>
    <t>за счёт собственных средств</t>
  </si>
  <si>
    <t>Ведомственная структура расходов бюджета Кузнечихинского сельского поселения на 2018 год по разделам, подразделам и целевой классификации расходов бюджетов Российской Федерации</t>
  </si>
  <si>
    <t>39.1.01.R5550</t>
  </si>
  <si>
    <t>Приложение № 5</t>
  </si>
  <si>
    <t>11.1.01.45350</t>
  </si>
  <si>
    <t>Реализация мероприятий инициативного бюджетирования на территории Ярославской области (поддержка местным инициатив)</t>
  </si>
  <si>
    <t>Иные межбюджетные трансферы поселения на частичное финансирование первоочередных расходных обязательств возникших при выполнение полномочий органов местного самоуправления за исключением зароботной платы и начислении на нее</t>
  </si>
  <si>
    <t>24.1.01.10570</t>
  </si>
  <si>
    <t>Возврат прочих остатков субсидий, субвенций и иных межбюджетных трансферов, имеющих целевое назначение, прошлых лет из бюджетов сельских поселений</t>
  </si>
  <si>
    <t>факт за год</t>
  </si>
  <si>
    <t>50.0.00.6610.0</t>
  </si>
  <si>
    <t>39.1.01.46450</t>
  </si>
  <si>
    <t>Приложение № 4 к решению Муниципального совета Кузнечихинского сельского поселения №  от   .03.19 г.</t>
  </si>
  <si>
    <t>факт  за год</t>
  </si>
  <si>
    <t>факт за год 2018</t>
  </si>
  <si>
    <t>Приложение № 3 к решению Муниципального совета Кузнечихинского сельского поселения №    от   .03.2019  г.</t>
  </si>
  <si>
    <t>Исполнение расходной части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2018 год</t>
  </si>
  <si>
    <t>Субсидии на формирование современной городской среды (местный бюджет)</t>
  </si>
  <si>
    <r>
      <t xml:space="preserve">Приложение № 2 к решению Муниципального совета Кузнечихинского сельского поселения №     </t>
    </r>
    <r>
      <rPr>
        <sz val="12"/>
        <rFont val="Arial Cyr"/>
        <family val="0"/>
      </rPr>
      <t>о</t>
    </r>
    <r>
      <rPr>
        <sz val="12"/>
        <rFont val="Arial Cyr"/>
        <family val="2"/>
      </rPr>
      <t>т   .03.2019 г.</t>
    </r>
  </si>
  <si>
    <t xml:space="preserve">                                                       Приложение № 1 к решению Муниципального Совета  Кузнечихинского сельского поселения №   от  .03.2019 г.</t>
  </si>
  <si>
    <t>Исполнение доходной части бюджета Кузнечихинского сельского поселения за 2018 год в соответствии с  классификацией доходов бюджетов Российской Федерации</t>
  </si>
  <si>
    <t>ФАКТ за 2018 год</t>
  </si>
  <si>
    <t>Реализация меропирятий МЦП "Решаем вместе"</t>
  </si>
  <si>
    <t>Реализация мероприятий МЦП "Решаем вместе"</t>
  </si>
  <si>
    <t>поселения №    от   .03.2019</t>
  </si>
  <si>
    <t xml:space="preserve">за 2018 год </t>
  </si>
  <si>
    <t>факт за 2018 год                                  (руб.)</t>
  </si>
  <si>
    <t>182 1 06 01000 00 0000 110</t>
  </si>
  <si>
    <t>841 1 08 04020 01 0000 110</t>
  </si>
  <si>
    <t>Невыясненные поступления, зачисляемые в бюджеты сельских поселений</t>
  </si>
  <si>
    <t>Дотации бюджетам бюджетной системы РФ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</si>
  <si>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</si>
  <si>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</si>
  <si>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841 2 03 05020 10 0000 180</t>
  </si>
  <si>
    <t>841 2 04 05020 10 0000 180</t>
  </si>
  <si>
    <t>841 2 07 05030 10 0000 180</t>
  </si>
  <si>
    <t>841 2 19 60010 10 0000 151</t>
  </si>
  <si>
    <t>Исполнение расходной части бюджета Кузнечихинского сельского поселения Ярославского муниципального района Ярославской области за 2018 год по разделам и подразделам классификации расходов бюджетов Российской Федерации</t>
  </si>
  <si>
    <t>841 1 14 02053 10 0000 410</t>
  </si>
  <si>
    <t xml:space="preserve">841 1 14 06025 10 0000 430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</si>
</sst>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00"/>
    <numFmt numFmtId="180" formatCode="[$-FC19]d\ mmmm\ yyyy\ &quot;г.&quot;"/>
  </numFmts>
  <fonts count="76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1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DFA9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 wrapText="1"/>
    </xf>
    <xf numFmtId="4" fontId="17" fillId="0" borderId="0" xfId="53" applyNumberFormat="1" applyFont="1" applyAlignment="1">
      <alignment horizontal="righ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hidden="1"/>
    </xf>
    <xf numFmtId="0" fontId="18" fillId="0" borderId="10" xfId="53" applyFont="1" applyBorder="1" applyAlignment="1" applyProtection="1">
      <alignment horizontal="center" vertical="center" wrapText="1"/>
      <protection hidden="1"/>
    </xf>
    <xf numFmtId="0" fontId="17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 applyProtection="1">
      <alignment horizontal="center" vertical="center" wrapText="1"/>
      <protection hidden="1"/>
    </xf>
    <xf numFmtId="49" fontId="17" fillId="0" borderId="10" xfId="53" applyNumberFormat="1" applyFont="1" applyBorder="1" applyAlignment="1">
      <alignment horizontal="center" vertical="center" wrapText="1"/>
      <protection/>
    </xf>
    <xf numFmtId="0" fontId="18" fillId="33" borderId="10" xfId="53" applyFont="1" applyFill="1" applyBorder="1" applyAlignment="1" applyProtection="1">
      <alignment horizontal="left" vertical="center" wrapText="1"/>
      <protection hidden="1"/>
    </xf>
    <xf numFmtId="179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1" fillId="34" borderId="10" xfId="53" applyFont="1" applyFill="1" applyBorder="1" applyAlignment="1" applyProtection="1">
      <alignment horizontal="left" vertical="center" wrapText="1"/>
      <protection hidden="1"/>
    </xf>
    <xf numFmtId="49" fontId="19" fillId="34" borderId="10" xfId="53" applyNumberFormat="1" applyFont="1" applyFill="1" applyBorder="1" applyAlignment="1" applyProtection="1">
      <alignment horizontal="left" vertical="center" wrapText="1"/>
      <protection hidden="1"/>
    </xf>
    <xf numFmtId="179" fontId="21" fillId="34" borderId="10" xfId="53" applyNumberFormat="1" applyFont="1" applyFill="1" applyBorder="1" applyAlignment="1" applyProtection="1">
      <alignment horizontal="center" vertical="center" wrapText="1"/>
      <protection hidden="1"/>
    </xf>
    <xf numFmtId="4" fontId="17" fillId="34" borderId="10" xfId="53" applyNumberFormat="1" applyFont="1" applyFill="1" applyBorder="1" applyAlignment="1">
      <alignment horizontal="right" vertical="center" wrapText="1"/>
      <protection/>
    </xf>
    <xf numFmtId="0" fontId="19" fillId="35" borderId="10" xfId="53" applyFont="1" applyFill="1" applyBorder="1" applyAlignment="1" applyProtection="1">
      <alignment horizontal="left" vertical="center" wrapText="1"/>
      <protection hidden="1"/>
    </xf>
    <xf numFmtId="49" fontId="19" fillId="35" borderId="10" xfId="53" applyNumberFormat="1" applyFont="1" applyFill="1" applyBorder="1" applyAlignment="1" applyProtection="1">
      <alignment horizontal="left" vertical="center" wrapText="1"/>
      <protection hidden="1"/>
    </xf>
    <xf numFmtId="179" fontId="21" fillId="35" borderId="10" xfId="53" applyNumberFormat="1" applyFont="1" applyFill="1" applyBorder="1" applyAlignment="1" applyProtection="1">
      <alignment horizontal="center" vertical="center" wrapText="1"/>
      <protection hidden="1"/>
    </xf>
    <xf numFmtId="4" fontId="17" fillId="35" borderId="10" xfId="53" applyNumberFormat="1" applyFont="1" applyFill="1" applyBorder="1" applyAlignment="1">
      <alignment horizontal="right" vertical="center" wrapText="1"/>
      <protection/>
    </xf>
    <xf numFmtId="0" fontId="19" fillId="0" borderId="10" xfId="53" applyFont="1" applyBorder="1" applyAlignment="1" applyProtection="1">
      <alignment horizontal="left" vertical="center" wrapText="1"/>
      <protection hidden="1"/>
    </xf>
    <xf numFmtId="179" fontId="19" fillId="0" borderId="10" xfId="53" applyNumberFormat="1" applyFont="1" applyBorder="1" applyAlignment="1" applyProtection="1">
      <alignment horizontal="left" vertical="center" wrapText="1"/>
      <protection hidden="1"/>
    </xf>
    <xf numFmtId="179" fontId="19" fillId="0" borderId="10" xfId="53" applyNumberFormat="1" applyFont="1" applyBorder="1" applyAlignment="1" applyProtection="1">
      <alignment horizontal="center" vertical="center" wrapText="1"/>
      <protection hidden="1"/>
    </xf>
    <xf numFmtId="4" fontId="17" fillId="0" borderId="10" xfId="53" applyNumberFormat="1" applyFont="1" applyBorder="1" applyAlignment="1">
      <alignment horizontal="right" vertical="center" wrapText="1"/>
      <protection/>
    </xf>
    <xf numFmtId="49" fontId="19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21" fillId="35" borderId="10" xfId="53" applyFont="1" applyFill="1" applyBorder="1" applyAlignment="1" applyProtection="1">
      <alignment horizontal="left" vertical="center" wrapText="1"/>
      <protection hidden="1"/>
    </xf>
    <xf numFmtId="179" fontId="19" fillId="35" borderId="10" xfId="53" applyNumberFormat="1" applyFont="1" applyFill="1" applyBorder="1" applyAlignment="1" applyProtection="1">
      <alignment horizontal="left" vertical="center" wrapText="1"/>
      <protection hidden="1"/>
    </xf>
    <xf numFmtId="179" fontId="18" fillId="33" borderId="10" xfId="53" applyNumberFormat="1" applyFont="1" applyFill="1" applyBorder="1" applyAlignment="1" applyProtection="1">
      <alignment horizontal="left" vertical="center" wrapText="1"/>
      <protection hidden="1"/>
    </xf>
    <xf numFmtId="179" fontId="19" fillId="34" borderId="10" xfId="53" applyNumberFormat="1" applyFont="1" applyFill="1" applyBorder="1" applyAlignment="1" applyProtection="1">
      <alignment horizontal="left" vertical="center" wrapText="1"/>
      <protection hidden="1"/>
    </xf>
    <xf numFmtId="179" fontId="19" fillId="34" borderId="10" xfId="53" applyNumberFormat="1" applyFont="1" applyFill="1" applyBorder="1" applyAlignment="1" applyProtection="1">
      <alignment horizontal="center" vertical="center" wrapText="1"/>
      <protection hidden="1"/>
    </xf>
    <xf numFmtId="179" fontId="19" fillId="35" borderId="10" xfId="53" applyNumberFormat="1" applyFont="1" applyFill="1" applyBorder="1" applyAlignment="1" applyProtection="1">
      <alignment horizontal="center" vertical="center" wrapText="1"/>
      <protection hidden="1"/>
    </xf>
    <xf numFmtId="179" fontId="22" fillId="0" borderId="10" xfId="53" applyNumberFormat="1" applyFont="1" applyBorder="1" applyAlignment="1" applyProtection="1">
      <alignment horizontal="left" vertical="center" wrapText="1"/>
      <protection hidden="1"/>
    </xf>
    <xf numFmtId="0" fontId="19" fillId="34" borderId="10" xfId="53" applyFont="1" applyFill="1" applyBorder="1" applyAlignment="1" applyProtection="1">
      <alignment horizontal="left" vertical="center" wrapText="1"/>
      <protection hidden="1"/>
    </xf>
    <xf numFmtId="0" fontId="17" fillId="0" borderId="10" xfId="53" applyFont="1" applyBorder="1" applyAlignment="1" applyProtection="1">
      <alignment horizontal="left" vertical="center" wrapText="1"/>
      <protection hidden="1"/>
    </xf>
    <xf numFmtId="0" fontId="19" fillId="36" borderId="10" xfId="53" applyFont="1" applyFill="1" applyBorder="1" applyAlignment="1" applyProtection="1">
      <alignment horizontal="left" vertical="center" wrapText="1"/>
      <protection hidden="1"/>
    </xf>
    <xf numFmtId="179" fontId="19" fillId="36" borderId="10" xfId="53" applyNumberFormat="1" applyFont="1" applyFill="1" applyBorder="1" applyAlignment="1" applyProtection="1">
      <alignment horizontal="left" vertical="center" wrapText="1"/>
      <protection hidden="1"/>
    </xf>
    <xf numFmtId="179" fontId="19" fillId="36" borderId="10" xfId="53" applyNumberFormat="1" applyFont="1" applyFill="1" applyBorder="1" applyAlignment="1" applyProtection="1">
      <alignment horizontal="center" vertical="center" wrapText="1"/>
      <protection hidden="1"/>
    </xf>
    <xf numFmtId="4" fontId="17" fillId="36" borderId="10" xfId="53" applyNumberFormat="1" applyFont="1" applyFill="1" applyBorder="1" applyAlignment="1">
      <alignment horizontal="right" vertical="center" wrapText="1"/>
      <protection/>
    </xf>
    <xf numFmtId="0" fontId="19" fillId="0" borderId="10" xfId="53" applyFont="1" applyBorder="1" applyAlignment="1" applyProtection="1">
      <alignment horizontal="right" vertical="center" wrapText="1"/>
      <protection hidden="1"/>
    </xf>
    <xf numFmtId="4" fontId="20" fillId="0" borderId="10" xfId="53" applyNumberFormat="1" applyFont="1" applyBorder="1" applyAlignment="1">
      <alignment horizontal="right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49" fontId="23" fillId="0" borderId="10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right" vertical="center" wrapText="1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4" fontId="23" fillId="0" borderId="10" xfId="54" applyNumberFormat="1" applyFont="1" applyBorder="1" applyAlignment="1">
      <alignment horizontal="right" vertical="center" wrapText="1"/>
      <protection/>
    </xf>
    <xf numFmtId="0" fontId="19" fillId="0" borderId="10" xfId="54" applyFont="1" applyBorder="1" applyAlignment="1">
      <alignment horizontal="justify" vertical="center" wrapText="1"/>
      <protection/>
    </xf>
    <xf numFmtId="49" fontId="24" fillId="0" borderId="12" xfId="54" applyNumberFormat="1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justify" vertical="center" wrapText="1"/>
      <protection/>
    </xf>
    <xf numFmtId="4" fontId="24" fillId="0" borderId="10" xfId="54" applyNumberFormat="1" applyFont="1" applyBorder="1" applyAlignment="1">
      <alignment horizontal="right" vertical="center" wrapText="1"/>
      <protection/>
    </xf>
    <xf numFmtId="0" fontId="24" fillId="0" borderId="10" xfId="54" applyFont="1" applyBorder="1" applyAlignment="1">
      <alignment horizontal="justify" vertical="center" wrapText="1"/>
      <protection/>
    </xf>
    <xf numFmtId="49" fontId="23" fillId="0" borderId="12" xfId="54" applyNumberFormat="1" applyFont="1" applyBorder="1" applyAlignment="1">
      <alignment horizontal="center" vertical="center" wrapText="1"/>
      <protection/>
    </xf>
    <xf numFmtId="49" fontId="17" fillId="0" borderId="12" xfId="54" applyNumberFormat="1" applyFont="1" applyBorder="1" applyAlignment="1">
      <alignment horizontal="center" vertical="center" wrapText="1"/>
      <protection/>
    </xf>
    <xf numFmtId="0" fontId="23" fillId="0" borderId="12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left" vertical="center" wrapText="1"/>
      <protection/>
    </xf>
    <xf numFmtId="0" fontId="17" fillId="0" borderId="10" xfId="54" applyFont="1" applyBorder="1" applyAlignment="1">
      <alignment horizontal="justify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left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4" fontId="27" fillId="0" borderId="0" xfId="54" applyNumberFormat="1" applyFont="1" applyAlignment="1">
      <alignment horizontal="right" vertical="center" wrapText="1"/>
      <protection/>
    </xf>
    <xf numFmtId="4" fontId="28" fillId="0" borderId="0" xfId="54" applyNumberFormat="1" applyFont="1" applyAlignment="1">
      <alignment horizontal="right" vertical="center" wrapText="1"/>
      <protection/>
    </xf>
    <xf numFmtId="0" fontId="70" fillId="0" borderId="0" xfId="55" applyFont="1" applyAlignment="1">
      <alignment horizontal="right" vertical="center"/>
      <protection/>
    </xf>
    <xf numFmtId="0" fontId="71" fillId="0" borderId="10" xfId="55" applyFont="1" applyBorder="1" applyAlignment="1">
      <alignment horizontal="center" vertical="center" wrapText="1"/>
      <protection/>
    </xf>
    <xf numFmtId="0" fontId="70" fillId="0" borderId="10" xfId="55" applyFont="1" applyBorder="1" applyAlignment="1">
      <alignment horizontal="center" vertical="center" wrapText="1"/>
      <protection/>
    </xf>
    <xf numFmtId="0" fontId="53" fillId="0" borderId="0" xfId="55" applyAlignment="1">
      <alignment vertical="center"/>
      <protection/>
    </xf>
    <xf numFmtId="0" fontId="23" fillId="0" borderId="0" xfId="56" applyFont="1" applyAlignment="1">
      <alignment horizontal="right" vertical="center"/>
      <protection/>
    </xf>
    <xf numFmtId="0" fontId="23" fillId="0" borderId="0" xfId="0" applyFont="1" applyAlignment="1">
      <alignment horizontal="right" vertical="center"/>
    </xf>
    <xf numFmtId="0" fontId="72" fillId="0" borderId="10" xfId="55" applyFont="1" applyBorder="1" applyAlignment="1">
      <alignment horizontal="justify" vertical="center" wrapText="1"/>
      <protection/>
    </xf>
    <xf numFmtId="0" fontId="71" fillId="0" borderId="10" xfId="55" applyFont="1" applyBorder="1" applyAlignment="1">
      <alignment horizontal="justify" vertical="center" wrapText="1"/>
      <protection/>
    </xf>
    <xf numFmtId="4" fontId="23" fillId="0" borderId="10" xfId="55" applyNumberFormat="1" applyFont="1" applyBorder="1" applyAlignment="1">
      <alignment horizontal="center" vertical="center" wrapText="1"/>
      <protection/>
    </xf>
    <xf numFmtId="0" fontId="72" fillId="0" borderId="10" xfId="55" applyFont="1" applyBorder="1" applyAlignment="1">
      <alignment vertical="center" wrapText="1"/>
      <protection/>
    </xf>
    <xf numFmtId="0" fontId="71" fillId="0" borderId="10" xfId="55" applyFont="1" applyBorder="1" applyAlignment="1">
      <alignment vertical="center" wrapText="1"/>
      <protection/>
    </xf>
    <xf numFmtId="0" fontId="70" fillId="0" borderId="10" xfId="55" applyFont="1" applyBorder="1" applyAlignment="1">
      <alignment vertical="center" wrapText="1"/>
      <protection/>
    </xf>
    <xf numFmtId="0" fontId="73" fillId="0" borderId="10" xfId="55" applyFont="1" applyBorder="1" applyAlignment="1">
      <alignment vertical="center" wrapText="1"/>
      <protection/>
    </xf>
    <xf numFmtId="4" fontId="24" fillId="0" borderId="10" xfId="55" applyNumberFormat="1" applyFont="1" applyBorder="1" applyAlignment="1">
      <alignment horizontal="center" vertical="center" wrapText="1"/>
      <protection/>
    </xf>
    <xf numFmtId="4" fontId="53" fillId="0" borderId="0" xfId="55" applyNumberFormat="1" applyAlignment="1">
      <alignment vertical="center"/>
      <protection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0" fontId="23" fillId="0" borderId="0" xfId="53" applyFont="1" applyAlignment="1">
      <alignment vertical="center" wrapText="1"/>
      <protection/>
    </xf>
    <xf numFmtId="0" fontId="23" fillId="0" borderId="0" xfId="53" applyFont="1" applyAlignment="1">
      <alignment horizontal="center" vertical="center" wrapText="1"/>
      <protection/>
    </xf>
    <xf numFmtId="0" fontId="23" fillId="33" borderId="0" xfId="53" applyFont="1" applyFill="1" applyAlignment="1">
      <alignment vertical="center" wrapText="1"/>
      <protection/>
    </xf>
    <xf numFmtId="0" fontId="23" fillId="34" borderId="0" xfId="53" applyFont="1" applyFill="1" applyAlignment="1">
      <alignment vertical="center" wrapText="1"/>
      <protection/>
    </xf>
    <xf numFmtId="0" fontId="23" fillId="35" borderId="0" xfId="53" applyFont="1" applyFill="1" applyAlignment="1">
      <alignment vertical="center" wrapText="1"/>
      <protection/>
    </xf>
    <xf numFmtId="0" fontId="29" fillId="0" borderId="0" xfId="53" applyFont="1" applyAlignment="1">
      <alignment vertical="center" wrapText="1"/>
      <protection/>
    </xf>
    <xf numFmtId="0" fontId="29" fillId="35" borderId="0" xfId="53" applyFont="1" applyFill="1" applyAlignment="1">
      <alignment vertical="center" wrapText="1"/>
      <protection/>
    </xf>
    <xf numFmtId="0" fontId="23" fillId="0" borderId="10" xfId="53" applyFont="1" applyBorder="1" applyAlignment="1">
      <alignment vertical="center" wrapText="1"/>
      <protection/>
    </xf>
    <xf numFmtId="0" fontId="24" fillId="0" borderId="10" xfId="53" applyFont="1" applyBorder="1" applyAlignment="1">
      <alignment horizontal="right" vertical="center" wrapText="1"/>
      <protection/>
    </xf>
    <xf numFmtId="0" fontId="23" fillId="0" borderId="10" xfId="53" applyFont="1" applyBorder="1" applyAlignment="1">
      <alignment horizontal="left" vertical="center" wrapText="1"/>
      <protection/>
    </xf>
    <xf numFmtId="0" fontId="23" fillId="0" borderId="0" xfId="53" applyFont="1" applyAlignment="1">
      <alignment horizontal="left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4" fontId="23" fillId="0" borderId="10" xfId="53" applyNumberFormat="1" applyFont="1" applyBorder="1" applyAlignment="1">
      <alignment horizontal="center" vertical="center" wrapText="1"/>
      <protection/>
    </xf>
    <xf numFmtId="4" fontId="23" fillId="0" borderId="0" xfId="53" applyNumberFormat="1" applyFont="1" applyAlignment="1">
      <alignment horizontal="right" vertical="center" wrapText="1"/>
      <protection/>
    </xf>
    <xf numFmtId="4" fontId="23" fillId="0" borderId="10" xfId="53" applyNumberFormat="1" applyFont="1" applyBorder="1" applyAlignment="1">
      <alignment horizontal="right" vertical="center" wrapText="1"/>
      <protection/>
    </xf>
    <xf numFmtId="4" fontId="19" fillId="0" borderId="10" xfId="53" applyNumberFormat="1" applyFont="1" applyBorder="1" applyAlignment="1">
      <alignment horizontal="right" vertical="center" wrapText="1"/>
      <protection/>
    </xf>
    <xf numFmtId="1" fontId="19" fillId="0" borderId="10" xfId="53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" fontId="14" fillId="0" borderId="0" xfId="0" applyNumberFormat="1" applyFont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 wrapText="1"/>
    </xf>
    <xf numFmtId="4" fontId="17" fillId="35" borderId="10" xfId="53" applyNumberFormat="1" applyFont="1" applyFill="1" applyBorder="1" applyAlignment="1">
      <alignment vertical="center" wrapText="1"/>
      <protection/>
    </xf>
    <xf numFmtId="4" fontId="23" fillId="0" borderId="10" xfId="53" applyNumberFormat="1" applyFont="1" applyBorder="1" applyAlignment="1">
      <alignment vertical="center" wrapText="1"/>
      <protection/>
    </xf>
    <xf numFmtId="4" fontId="17" fillId="37" borderId="10" xfId="53" applyNumberFormat="1" applyFont="1" applyFill="1" applyBorder="1" applyAlignment="1">
      <alignment horizontal="right" vertical="center" wrapText="1"/>
      <protection/>
    </xf>
    <xf numFmtId="4" fontId="17" fillId="38" borderId="10" xfId="53" applyNumberFormat="1" applyFont="1" applyFill="1" applyBorder="1" applyAlignment="1">
      <alignment horizontal="right" vertical="center" wrapText="1"/>
      <protection/>
    </xf>
    <xf numFmtId="0" fontId="18" fillId="38" borderId="10" xfId="53" applyFont="1" applyFill="1" applyBorder="1" applyAlignment="1" applyProtection="1">
      <alignment horizontal="left" vertical="center" wrapText="1"/>
      <protection hidden="1"/>
    </xf>
    <xf numFmtId="179" fontId="18" fillId="38" borderId="10" xfId="53" applyNumberFormat="1" applyFont="1" applyFill="1" applyBorder="1" applyAlignment="1" applyProtection="1">
      <alignment horizontal="left" vertical="center" wrapText="1"/>
      <protection hidden="1"/>
    </xf>
    <xf numFmtId="179" fontId="18" fillId="38" borderId="10" xfId="53" applyNumberFormat="1" applyFont="1" applyFill="1" applyBorder="1" applyAlignment="1" applyProtection="1">
      <alignment horizontal="center" vertical="center" wrapText="1"/>
      <protection hidden="1"/>
    </xf>
    <xf numFmtId="4" fontId="20" fillId="38" borderId="10" xfId="53" applyNumberFormat="1" applyFont="1" applyFill="1" applyBorder="1" applyAlignment="1">
      <alignment horizontal="right" vertical="center" wrapText="1"/>
      <protection/>
    </xf>
    <xf numFmtId="0" fontId="23" fillId="38" borderId="0" xfId="53" applyFont="1" applyFill="1" applyAlignment="1">
      <alignment vertical="center" wrapText="1"/>
      <protection/>
    </xf>
    <xf numFmtId="0" fontId="24" fillId="38" borderId="0" xfId="53" applyFont="1" applyFill="1" applyAlignment="1">
      <alignment vertical="center" wrapText="1"/>
      <protection/>
    </xf>
    <xf numFmtId="49" fontId="18" fillId="38" borderId="10" xfId="53" applyNumberFormat="1" applyFont="1" applyFill="1" applyBorder="1" applyAlignment="1" applyProtection="1">
      <alignment horizontal="center" vertical="center" wrapText="1"/>
      <protection hidden="1"/>
    </xf>
    <xf numFmtId="49" fontId="18" fillId="38" borderId="10" xfId="53" applyNumberFormat="1" applyFont="1" applyFill="1" applyBorder="1" applyAlignment="1" applyProtection="1">
      <alignment horizontal="left" vertical="center" wrapText="1"/>
      <protection hidden="1"/>
    </xf>
    <xf numFmtId="4" fontId="24" fillId="38" borderId="10" xfId="53" applyNumberFormat="1" applyFont="1" applyFill="1" applyBorder="1" applyAlignment="1">
      <alignment horizontal="right" vertical="center" wrapText="1"/>
      <protection/>
    </xf>
    <xf numFmtId="0" fontId="19" fillId="39" borderId="10" xfId="53" applyFont="1" applyFill="1" applyBorder="1" applyAlignment="1" applyProtection="1">
      <alignment horizontal="left" vertical="center" wrapText="1"/>
      <protection hidden="1"/>
    </xf>
    <xf numFmtId="179" fontId="19" fillId="39" borderId="10" xfId="53" applyNumberFormat="1" applyFont="1" applyFill="1" applyBorder="1" applyAlignment="1" applyProtection="1">
      <alignment horizontal="left" vertical="center" wrapText="1"/>
      <protection hidden="1"/>
    </xf>
    <xf numFmtId="179" fontId="19" fillId="39" borderId="10" xfId="53" applyNumberFormat="1" applyFont="1" applyFill="1" applyBorder="1" applyAlignment="1" applyProtection="1">
      <alignment horizontal="center" vertical="center" wrapText="1"/>
      <protection hidden="1"/>
    </xf>
    <xf numFmtId="4" fontId="17" fillId="39" borderId="10" xfId="53" applyNumberFormat="1" applyFont="1" applyFill="1" applyBorder="1" applyAlignment="1">
      <alignment horizontal="right" vertical="center" wrapText="1"/>
      <protection/>
    </xf>
    <xf numFmtId="4" fontId="23" fillId="39" borderId="10" xfId="53" applyNumberFormat="1" applyFont="1" applyFill="1" applyBorder="1" applyAlignment="1">
      <alignment horizontal="right" vertical="center" wrapText="1"/>
      <protection/>
    </xf>
    <xf numFmtId="0" fontId="23" fillId="39" borderId="0" xfId="53" applyFont="1" applyFill="1" applyAlignment="1">
      <alignment vertical="center" wrapText="1"/>
      <protection/>
    </xf>
    <xf numFmtId="0" fontId="19" fillId="37" borderId="10" xfId="53" applyFont="1" applyFill="1" applyBorder="1" applyAlignment="1" applyProtection="1">
      <alignment horizontal="left" vertical="center" wrapText="1"/>
      <protection hidden="1"/>
    </xf>
    <xf numFmtId="179" fontId="19" fillId="37" borderId="10" xfId="53" applyNumberFormat="1" applyFont="1" applyFill="1" applyBorder="1" applyAlignment="1" applyProtection="1">
      <alignment horizontal="left" vertical="center" wrapText="1"/>
      <protection hidden="1"/>
    </xf>
    <xf numFmtId="179" fontId="19" fillId="37" borderId="10" xfId="53" applyNumberFormat="1" applyFont="1" applyFill="1" applyBorder="1" applyAlignment="1" applyProtection="1">
      <alignment horizontal="center" vertical="center" wrapText="1"/>
      <protection hidden="1"/>
    </xf>
    <xf numFmtId="4" fontId="23" fillId="37" borderId="10" xfId="53" applyNumberFormat="1" applyFont="1" applyFill="1" applyBorder="1" applyAlignment="1">
      <alignment horizontal="right" vertical="center" wrapText="1"/>
      <protection/>
    </xf>
    <xf numFmtId="0" fontId="23" fillId="37" borderId="0" xfId="53" applyFont="1" applyFill="1" applyAlignment="1">
      <alignment vertical="center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4" fontId="23" fillId="0" borderId="10" xfId="54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0" fontId="23" fillId="0" borderId="10" xfId="54" applyFont="1" applyBorder="1" applyAlignment="1">
      <alignment horizontal="right" vertical="center" wrapText="1"/>
      <protection/>
    </xf>
    <xf numFmtId="49" fontId="24" fillId="0" borderId="13" xfId="54" applyNumberFormat="1" applyFont="1" applyBorder="1" applyAlignment="1">
      <alignment horizontal="center" vertical="center" wrapText="1"/>
      <protection/>
    </xf>
    <xf numFmtId="49" fontId="28" fillId="0" borderId="13" xfId="54" applyNumberFormat="1" applyFont="1" applyBorder="1" applyAlignment="1">
      <alignment horizontal="center" vertical="center" wrapText="1"/>
      <protection/>
    </xf>
    <xf numFmtId="49" fontId="20" fillId="0" borderId="10" xfId="54" applyNumberFormat="1" applyFont="1" applyBorder="1" applyAlignment="1">
      <alignment horizontal="center" vertical="center" wrapText="1"/>
      <protection/>
    </xf>
    <xf numFmtId="49" fontId="20" fillId="0" borderId="12" xfId="54" applyNumberFormat="1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center" wrapText="1"/>
      <protection/>
    </xf>
    <xf numFmtId="4" fontId="23" fillId="0" borderId="0" xfId="0" applyNumberFormat="1" applyFont="1" applyAlignment="1">
      <alignment vertical="center" wrapText="1"/>
    </xf>
    <xf numFmtId="0" fontId="23" fillId="0" borderId="0" xfId="54" applyFont="1" applyAlignment="1">
      <alignment vertical="center" wrapText="1"/>
      <protection/>
    </xf>
    <xf numFmtId="0" fontId="1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0" fontId="23" fillId="0" borderId="0" xfId="54" applyFont="1" applyAlignment="1">
      <alignment horizontal="right" vertical="center" wrapText="1"/>
      <protection/>
    </xf>
    <xf numFmtId="4" fontId="23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23" fillId="0" borderId="0" xfId="54" applyNumberFormat="1" applyFont="1" applyAlignment="1">
      <alignment horizontal="right" vertical="center" wrapText="1"/>
      <protection/>
    </xf>
    <xf numFmtId="0" fontId="24" fillId="0" borderId="10" xfId="54" applyFont="1" applyBorder="1" applyAlignment="1">
      <alignment vertical="center" wrapText="1"/>
      <protection/>
    </xf>
    <xf numFmtId="0" fontId="24" fillId="0" borderId="12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justify" vertical="center" wrapText="1"/>
      <protection/>
    </xf>
    <xf numFmtId="0" fontId="74" fillId="0" borderId="10" xfId="55" applyFont="1" applyBorder="1" applyAlignment="1">
      <alignment horizontal="center" vertical="center" wrapText="1"/>
      <protection/>
    </xf>
    <xf numFmtId="179" fontId="23" fillId="0" borderId="10" xfId="53" applyNumberFormat="1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49" fontId="14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4" fontId="23" fillId="0" borderId="0" xfId="53" applyNumberFormat="1" applyFont="1" applyAlignment="1">
      <alignment horizontal="right" vertical="center" wrapText="1"/>
      <protection/>
    </xf>
    <xf numFmtId="0" fontId="31" fillId="0" borderId="15" xfId="53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right" vertical="center" wrapText="1"/>
    </xf>
    <xf numFmtId="0" fontId="19" fillId="0" borderId="10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71" fillId="0" borderId="14" xfId="55" applyFont="1" applyBorder="1" applyAlignment="1">
      <alignment horizontal="center" vertical="center" wrapText="1"/>
      <protection/>
    </xf>
    <xf numFmtId="0" fontId="71" fillId="0" borderId="16" xfId="55" applyFont="1" applyBorder="1" applyAlignment="1">
      <alignment horizontal="center" vertical="center" wrapText="1"/>
      <protection/>
    </xf>
    <xf numFmtId="0" fontId="71" fillId="0" borderId="11" xfId="55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75" fillId="0" borderId="0" xfId="55" applyFont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5" xfId="55"/>
    <cellStyle name="Обычный 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75" zoomScaleNormal="75" zoomScaleSheetLayoutView="75" zoomScalePageLayoutView="0" workbookViewId="0" topLeftCell="A1">
      <selection activeCell="A31" sqref="A31"/>
    </sheetView>
  </sheetViews>
  <sheetFormatPr defaultColWidth="11.57421875" defaultRowHeight="12.75"/>
  <cols>
    <col min="1" max="1" width="42.28125" style="15" bestFit="1" customWidth="1"/>
    <col min="2" max="2" width="223.28125" style="3" customWidth="1"/>
    <col min="3" max="3" width="22.57421875" style="10" bestFit="1" customWidth="1"/>
    <col min="4" max="4" width="21.8515625" style="25" bestFit="1" customWidth="1"/>
    <col min="5" max="5" width="21.140625" style="101" customWidth="1"/>
    <col min="6" max="16384" width="11.57421875" style="1" customWidth="1"/>
  </cols>
  <sheetData>
    <row r="1" spans="2:5" ht="18.75" customHeight="1">
      <c r="B1" s="190" t="s">
        <v>444</v>
      </c>
      <c r="C1" s="190"/>
      <c r="D1" s="190"/>
      <c r="E1" s="190"/>
    </row>
    <row r="2" spans="2:5" ht="18.75" customHeight="1">
      <c r="B2" s="190"/>
      <c r="C2" s="190"/>
      <c r="D2" s="190"/>
      <c r="E2" s="190"/>
    </row>
    <row r="3" spans="2:5" ht="18.75" customHeight="1">
      <c r="B3" s="190"/>
      <c r="C3" s="190"/>
      <c r="D3" s="190"/>
      <c r="E3" s="190"/>
    </row>
    <row r="4" spans="2:3" ht="18.75">
      <c r="B4" s="2"/>
      <c r="C4" s="5"/>
    </row>
    <row r="5" spans="1:5" ht="26.25" customHeight="1">
      <c r="A5" s="201" t="s">
        <v>445</v>
      </c>
      <c r="B5" s="201"/>
      <c r="C5" s="201"/>
      <c r="D5" s="201"/>
      <c r="E5" s="201"/>
    </row>
    <row r="6" ht="20.25">
      <c r="C6" s="18" t="s">
        <v>20</v>
      </c>
    </row>
    <row r="7" spans="1:5" s="4" customFormat="1" ht="37.5">
      <c r="A7" s="16" t="s">
        <v>0</v>
      </c>
      <c r="B7" s="19" t="s">
        <v>1</v>
      </c>
      <c r="C7" s="6" t="s">
        <v>393</v>
      </c>
      <c r="D7" s="165" t="s">
        <v>446</v>
      </c>
      <c r="E7" s="99" t="s">
        <v>394</v>
      </c>
    </row>
    <row r="8" spans="1:5" ht="22.5">
      <c r="A8" s="197" t="s">
        <v>3</v>
      </c>
      <c r="B8" s="198"/>
      <c r="C8" s="20">
        <f>C9+C19</f>
        <v>36040350.56999999</v>
      </c>
      <c r="D8" s="20">
        <f>D9+D19</f>
        <v>34297146.35</v>
      </c>
      <c r="E8" s="99">
        <f>(D8/C8)*100</f>
        <v>95.16318739293553</v>
      </c>
    </row>
    <row r="9" spans="1:5" ht="20.25">
      <c r="A9" s="199" t="s">
        <v>23</v>
      </c>
      <c r="B9" s="200"/>
      <c r="C9" s="7">
        <f>C11+C13+C14+C17+C18</f>
        <v>33191755.909999996</v>
      </c>
      <c r="D9" s="7">
        <f>D11+D13+D14+D17+D18</f>
        <v>31441405.06</v>
      </c>
      <c r="E9" s="99">
        <f aca="true" t="shared" si="0" ref="E9:E52">(D9/C9)*100</f>
        <v>94.72654940357448</v>
      </c>
    </row>
    <row r="10" spans="1:5" ht="20.25">
      <c r="A10" s="17" t="s">
        <v>2</v>
      </c>
      <c r="B10" s="21" t="s">
        <v>24</v>
      </c>
      <c r="C10" s="7"/>
      <c r="D10" s="22"/>
      <c r="E10" s="102"/>
    </row>
    <row r="11" spans="1:5" ht="20.25">
      <c r="A11" s="17" t="s">
        <v>4</v>
      </c>
      <c r="B11" s="13" t="s">
        <v>5</v>
      </c>
      <c r="C11" s="8">
        <f>C12</f>
        <v>2693176.08</v>
      </c>
      <c r="D11" s="8">
        <f>SUM(D12)</f>
        <v>2700261.45</v>
      </c>
      <c r="E11" s="102">
        <f t="shared" si="0"/>
        <v>100.26308602889418</v>
      </c>
    </row>
    <row r="12" spans="1:5" ht="20.25">
      <c r="A12" s="17" t="s">
        <v>6</v>
      </c>
      <c r="B12" s="13" t="s">
        <v>7</v>
      </c>
      <c r="C12" s="8">
        <v>2693176.08</v>
      </c>
      <c r="D12" s="22">
        <v>2700261.45</v>
      </c>
      <c r="E12" s="102">
        <f t="shared" si="0"/>
        <v>100.26308602889418</v>
      </c>
    </row>
    <row r="13" spans="1:5" ht="20.25">
      <c r="A13" s="17" t="s">
        <v>36</v>
      </c>
      <c r="B13" s="13" t="s">
        <v>37</v>
      </c>
      <c r="C13" s="8">
        <v>137800.67</v>
      </c>
      <c r="D13" s="22">
        <v>138777.58</v>
      </c>
      <c r="E13" s="102">
        <f t="shared" si="0"/>
        <v>100.70892978967372</v>
      </c>
    </row>
    <row r="14" spans="1:5" ht="20.25">
      <c r="A14" s="17" t="s">
        <v>8</v>
      </c>
      <c r="B14" s="13" t="s">
        <v>9</v>
      </c>
      <c r="C14" s="8">
        <f>C15+C16</f>
        <v>27506531.779999997</v>
      </c>
      <c r="D14" s="8">
        <f>D15+D16</f>
        <v>25747527.63</v>
      </c>
      <c r="E14" s="102">
        <f t="shared" si="0"/>
        <v>93.60514017518207</v>
      </c>
    </row>
    <row r="15" spans="1:5" ht="20.25">
      <c r="A15" s="17" t="s">
        <v>452</v>
      </c>
      <c r="B15" s="13" t="s">
        <v>10</v>
      </c>
      <c r="C15" s="8">
        <v>3319388.81</v>
      </c>
      <c r="D15" s="22">
        <v>3337900.22</v>
      </c>
      <c r="E15" s="102">
        <f t="shared" si="0"/>
        <v>100.5576752546804</v>
      </c>
    </row>
    <row r="16" spans="1:5" ht="20.25">
      <c r="A16" s="17" t="s">
        <v>60</v>
      </c>
      <c r="B16" s="13" t="s">
        <v>47</v>
      </c>
      <c r="C16" s="22">
        <v>24187142.97</v>
      </c>
      <c r="D16" s="22">
        <v>22409627.41</v>
      </c>
      <c r="E16" s="102">
        <f t="shared" si="0"/>
        <v>92.65098998172417</v>
      </c>
    </row>
    <row r="17" spans="1:5" ht="40.5">
      <c r="A17" s="17" t="s">
        <v>453</v>
      </c>
      <c r="B17" s="13" t="s">
        <v>17</v>
      </c>
      <c r="C17" s="8">
        <v>13200</v>
      </c>
      <c r="D17" s="22">
        <v>13400</v>
      </c>
      <c r="E17" s="102">
        <f t="shared" si="0"/>
        <v>101.51515151515152</v>
      </c>
    </row>
    <row r="18" spans="1:5" ht="20.25">
      <c r="A18" s="17" t="s">
        <v>21</v>
      </c>
      <c r="B18" s="13" t="s">
        <v>48</v>
      </c>
      <c r="C18" s="8">
        <v>2841047.38</v>
      </c>
      <c r="D18" s="22">
        <v>2841438.4</v>
      </c>
      <c r="E18" s="102">
        <f t="shared" si="0"/>
        <v>100.01376323403659</v>
      </c>
    </row>
    <row r="19" spans="1:5" ht="20.25">
      <c r="A19" s="191" t="s">
        <v>25</v>
      </c>
      <c r="B19" s="192"/>
      <c r="C19" s="7">
        <f>C20+C23+C27+C28+C29+C30+C31+C32</f>
        <v>2848594.6599999997</v>
      </c>
      <c r="D19" s="7">
        <f>D20+D23+D27+D28+D29+D30+D31+D32</f>
        <v>2855741.2899999996</v>
      </c>
      <c r="E19" s="99">
        <f t="shared" si="0"/>
        <v>100.25088265804725</v>
      </c>
    </row>
    <row r="20" spans="1:5" ht="20.25">
      <c r="A20" s="17" t="s">
        <v>26</v>
      </c>
      <c r="B20" s="13" t="s">
        <v>11</v>
      </c>
      <c r="C20" s="8">
        <f>C21+C22</f>
        <v>682724.32</v>
      </c>
      <c r="D20" s="8">
        <v>682724.32</v>
      </c>
      <c r="E20" s="102">
        <f t="shared" si="0"/>
        <v>100</v>
      </c>
    </row>
    <row r="21" spans="1:5" ht="40.5">
      <c r="A21" s="17" t="s">
        <v>12</v>
      </c>
      <c r="B21" s="13" t="s">
        <v>59</v>
      </c>
      <c r="C21" s="8">
        <v>682724.32</v>
      </c>
      <c r="D21" s="22">
        <v>682724.32</v>
      </c>
      <c r="E21" s="102">
        <f t="shared" si="0"/>
        <v>100</v>
      </c>
    </row>
    <row r="22" spans="1:5" ht="40.5">
      <c r="A22" s="17" t="s">
        <v>18</v>
      </c>
      <c r="B22" s="14" t="s">
        <v>50</v>
      </c>
      <c r="C22" s="8">
        <v>0</v>
      </c>
      <c r="D22" s="22"/>
      <c r="E22" s="102"/>
    </row>
    <row r="23" spans="1:5" ht="20.25">
      <c r="A23" s="17" t="s">
        <v>13</v>
      </c>
      <c r="B23" s="13" t="s">
        <v>62</v>
      </c>
      <c r="C23" s="8">
        <f>C24+C25+C26</f>
        <v>1301897.95</v>
      </c>
      <c r="D23" s="8">
        <v>1301897.95</v>
      </c>
      <c r="E23" s="102">
        <f t="shared" si="0"/>
        <v>100</v>
      </c>
    </row>
    <row r="24" spans="1:5" ht="20.25">
      <c r="A24" s="17" t="s">
        <v>27</v>
      </c>
      <c r="B24" s="13" t="s">
        <v>28</v>
      </c>
      <c r="C24" s="8">
        <v>83350</v>
      </c>
      <c r="D24" s="22">
        <v>83350</v>
      </c>
      <c r="E24" s="102">
        <f t="shared" si="0"/>
        <v>100</v>
      </c>
    </row>
    <row r="25" spans="1:5" ht="40.5">
      <c r="A25" s="17" t="s">
        <v>29</v>
      </c>
      <c r="B25" s="13" t="s">
        <v>51</v>
      </c>
      <c r="C25" s="8">
        <v>535897.95</v>
      </c>
      <c r="D25" s="22">
        <v>535897.95</v>
      </c>
      <c r="E25" s="102">
        <f t="shared" si="0"/>
        <v>100</v>
      </c>
    </row>
    <row r="26" spans="1:5" ht="20.25">
      <c r="A26" s="17" t="s">
        <v>30</v>
      </c>
      <c r="B26" s="13" t="s">
        <v>31</v>
      </c>
      <c r="C26" s="8">
        <v>682650</v>
      </c>
      <c r="D26" s="22">
        <v>682650</v>
      </c>
      <c r="E26" s="102">
        <f t="shared" si="0"/>
        <v>100</v>
      </c>
    </row>
    <row r="27" spans="1:5" ht="20.25">
      <c r="A27" s="17" t="s">
        <v>401</v>
      </c>
      <c r="B27" s="13" t="s">
        <v>403</v>
      </c>
      <c r="C27" s="8">
        <v>48407.75</v>
      </c>
      <c r="D27" s="22">
        <v>48407.75</v>
      </c>
      <c r="E27" s="102">
        <f t="shared" si="0"/>
        <v>100</v>
      </c>
    </row>
    <row r="28" spans="1:5" ht="20.25">
      <c r="A28" s="17" t="s">
        <v>19</v>
      </c>
      <c r="B28" s="13" t="s">
        <v>52</v>
      </c>
      <c r="C28" s="8">
        <v>0</v>
      </c>
      <c r="D28" s="22"/>
      <c r="E28" s="102"/>
    </row>
    <row r="29" spans="1:5" ht="40.5">
      <c r="A29" s="17" t="s">
        <v>463</v>
      </c>
      <c r="B29" s="13" t="s">
        <v>53</v>
      </c>
      <c r="C29" s="8">
        <v>174955.84</v>
      </c>
      <c r="D29" s="22">
        <v>174955.84</v>
      </c>
      <c r="E29" s="102">
        <f t="shared" si="0"/>
        <v>100</v>
      </c>
    </row>
    <row r="30" spans="1:5" ht="40.5">
      <c r="A30" s="17" t="s">
        <v>464</v>
      </c>
      <c r="B30" s="13" t="s">
        <v>54</v>
      </c>
      <c r="C30" s="8">
        <v>569000</v>
      </c>
      <c r="D30" s="22">
        <v>569000</v>
      </c>
      <c r="E30" s="102">
        <f t="shared" si="0"/>
        <v>100</v>
      </c>
    </row>
    <row r="31" spans="1:5" ht="20.25">
      <c r="A31" s="17" t="s">
        <v>402</v>
      </c>
      <c r="B31" s="13" t="s">
        <v>454</v>
      </c>
      <c r="C31" s="8">
        <v>0</v>
      </c>
      <c r="D31" s="22">
        <v>6646.63</v>
      </c>
      <c r="E31" s="102">
        <v>0</v>
      </c>
    </row>
    <row r="32" spans="1:5" ht="20.25">
      <c r="A32" s="17" t="s">
        <v>14</v>
      </c>
      <c r="B32" s="13" t="s">
        <v>55</v>
      </c>
      <c r="C32" s="8">
        <v>71608.8</v>
      </c>
      <c r="D32" s="22">
        <v>72108.8</v>
      </c>
      <c r="E32" s="102">
        <f t="shared" si="0"/>
        <v>100.69823820536024</v>
      </c>
    </row>
    <row r="33" spans="1:5" ht="22.5">
      <c r="A33" s="17" t="s">
        <v>22</v>
      </c>
      <c r="B33" s="19" t="s">
        <v>15</v>
      </c>
      <c r="C33" s="20">
        <f>C34+C47</f>
        <v>30890118.8</v>
      </c>
      <c r="D33" s="7">
        <f>D34+D47+D51</f>
        <v>27511590.35</v>
      </c>
      <c r="E33" s="99">
        <f t="shared" si="0"/>
        <v>89.06275345888278</v>
      </c>
    </row>
    <row r="34" spans="1:5" ht="20.25">
      <c r="A34" s="17" t="s">
        <v>32</v>
      </c>
      <c r="B34" s="13" t="s">
        <v>33</v>
      </c>
      <c r="C34" s="7">
        <f>C35+C36+C42+C44</f>
        <v>30656518.8</v>
      </c>
      <c r="D34" s="7">
        <f>D35+D36+D42+D44</f>
        <v>29980766.130000003</v>
      </c>
      <c r="E34" s="99">
        <f t="shared" si="0"/>
        <v>97.79572927243129</v>
      </c>
    </row>
    <row r="35" spans="1:5" ht="20.25">
      <c r="A35" s="17" t="s">
        <v>44</v>
      </c>
      <c r="B35" s="13" t="s">
        <v>455</v>
      </c>
      <c r="C35" s="7">
        <f>18803000+175000</f>
        <v>18978000</v>
      </c>
      <c r="D35" s="100">
        <v>18978000</v>
      </c>
      <c r="E35" s="99">
        <f t="shared" si="0"/>
        <v>100</v>
      </c>
    </row>
    <row r="36" spans="1:5" ht="20.25">
      <c r="A36" s="17" t="s">
        <v>61</v>
      </c>
      <c r="B36" s="24" t="s">
        <v>49</v>
      </c>
      <c r="C36" s="7">
        <f>C37+C38+C39+C40+C41</f>
        <v>9804517.5</v>
      </c>
      <c r="D36" s="7">
        <f>D37+D38+D39+D40+D41</f>
        <v>9171005.71</v>
      </c>
      <c r="E36" s="99">
        <f t="shared" si="0"/>
        <v>93.53857249987061</v>
      </c>
    </row>
    <row r="37" spans="1:5" ht="40.5">
      <c r="A37" s="17" t="s">
        <v>39</v>
      </c>
      <c r="B37" s="13" t="s">
        <v>63</v>
      </c>
      <c r="C37" s="8">
        <v>0</v>
      </c>
      <c r="D37" s="22"/>
      <c r="E37" s="102"/>
    </row>
    <row r="38" spans="1:5" ht="20.25">
      <c r="A38" s="17" t="s">
        <v>43</v>
      </c>
      <c r="B38" s="13" t="s">
        <v>56</v>
      </c>
      <c r="C38" s="8">
        <v>0</v>
      </c>
      <c r="D38" s="22"/>
      <c r="E38" s="102"/>
    </row>
    <row r="39" spans="1:5" ht="20.25">
      <c r="A39" s="17" t="s">
        <v>404</v>
      </c>
      <c r="B39" s="14" t="s">
        <v>405</v>
      </c>
      <c r="C39" s="8">
        <v>1844700</v>
      </c>
      <c r="D39" s="22">
        <v>1838514.74</v>
      </c>
      <c r="E39" s="102">
        <v>0</v>
      </c>
    </row>
    <row r="40" spans="1:5" ht="40.5">
      <c r="A40" s="17" t="s">
        <v>406</v>
      </c>
      <c r="B40" s="14" t="s">
        <v>407</v>
      </c>
      <c r="C40" s="8">
        <v>3500001</v>
      </c>
      <c r="D40" s="22">
        <v>2872811.65</v>
      </c>
      <c r="E40" s="102">
        <v>0</v>
      </c>
    </row>
    <row r="41" spans="1:5" ht="20.25">
      <c r="A41" s="17" t="s">
        <v>40</v>
      </c>
      <c r="B41" s="14" t="s">
        <v>57</v>
      </c>
      <c r="C41" s="8">
        <v>4459816.5</v>
      </c>
      <c r="D41" s="22">
        <v>4459679.32</v>
      </c>
      <c r="E41" s="102">
        <f t="shared" si="0"/>
        <v>99.9969240886929</v>
      </c>
    </row>
    <row r="42" spans="1:5" ht="20.25">
      <c r="A42" s="17" t="s">
        <v>45</v>
      </c>
      <c r="B42" s="14" t="s">
        <v>58</v>
      </c>
      <c r="C42" s="7">
        <f>C43</f>
        <v>389318</v>
      </c>
      <c r="D42" s="7">
        <v>389318</v>
      </c>
      <c r="E42" s="99">
        <f t="shared" si="0"/>
        <v>100</v>
      </c>
    </row>
    <row r="43" spans="1:5" ht="20.25">
      <c r="A43" s="17" t="s">
        <v>38</v>
      </c>
      <c r="B43" s="13" t="s">
        <v>64</v>
      </c>
      <c r="C43" s="8">
        <v>389318</v>
      </c>
      <c r="D43" s="22">
        <v>389318</v>
      </c>
      <c r="E43" s="102">
        <f t="shared" si="0"/>
        <v>100</v>
      </c>
    </row>
    <row r="44" spans="1:5" ht="20.25">
      <c r="A44" s="17" t="s">
        <v>46</v>
      </c>
      <c r="B44" s="13" t="s">
        <v>34</v>
      </c>
      <c r="C44" s="7">
        <f>C45+C46</f>
        <v>1484683.3</v>
      </c>
      <c r="D44" s="7">
        <f>D45+D46</f>
        <v>1442442.42</v>
      </c>
      <c r="E44" s="99">
        <f t="shared" si="0"/>
        <v>97.15488953098617</v>
      </c>
    </row>
    <row r="45" spans="1:5" ht="40.5">
      <c r="A45" s="17" t="s">
        <v>41</v>
      </c>
      <c r="B45" s="13" t="s">
        <v>65</v>
      </c>
      <c r="C45" s="8">
        <f>1046583.3+200000</f>
        <v>1246583.3</v>
      </c>
      <c r="D45" s="22">
        <v>1207342.42</v>
      </c>
      <c r="E45" s="102">
        <f t="shared" si="0"/>
        <v>96.85212532527909</v>
      </c>
    </row>
    <row r="46" spans="1:5" ht="20.25">
      <c r="A46" s="17" t="s">
        <v>42</v>
      </c>
      <c r="B46" s="13" t="s">
        <v>66</v>
      </c>
      <c r="C46" s="8">
        <v>238100</v>
      </c>
      <c r="D46" s="22">
        <v>235100</v>
      </c>
      <c r="E46" s="102"/>
    </row>
    <row r="47" spans="1:5" ht="20.25">
      <c r="A47" s="193" t="s">
        <v>35</v>
      </c>
      <c r="B47" s="194"/>
      <c r="C47" s="7">
        <f>C48+C49+C50</f>
        <v>233600</v>
      </c>
      <c r="D47" s="7">
        <f>D48+D49+D50</f>
        <v>233600</v>
      </c>
      <c r="E47" s="99">
        <f t="shared" si="0"/>
        <v>100</v>
      </c>
    </row>
    <row r="48" spans="1:5" ht="40.5">
      <c r="A48" s="17" t="s">
        <v>458</v>
      </c>
      <c r="B48" s="13" t="s">
        <v>456</v>
      </c>
      <c r="C48" s="8">
        <v>24500</v>
      </c>
      <c r="D48" s="22">
        <v>24500</v>
      </c>
      <c r="E48" s="102">
        <f t="shared" si="0"/>
        <v>100</v>
      </c>
    </row>
    <row r="49" spans="1:5" ht="20.25">
      <c r="A49" s="17" t="s">
        <v>459</v>
      </c>
      <c r="B49" s="13" t="s">
        <v>457</v>
      </c>
      <c r="C49" s="8">
        <v>191600</v>
      </c>
      <c r="D49" s="22">
        <v>191600</v>
      </c>
      <c r="E49" s="102">
        <f t="shared" si="0"/>
        <v>100</v>
      </c>
    </row>
    <row r="50" spans="1:5" ht="20.25">
      <c r="A50" s="17" t="s">
        <v>460</v>
      </c>
      <c r="B50" s="13" t="s">
        <v>67</v>
      </c>
      <c r="C50" s="8">
        <v>17500</v>
      </c>
      <c r="D50" s="22">
        <v>17500</v>
      </c>
      <c r="E50" s="102">
        <f t="shared" si="0"/>
        <v>100</v>
      </c>
    </row>
    <row r="51" spans="1:5" ht="20.25">
      <c r="A51" s="188" t="s">
        <v>461</v>
      </c>
      <c r="B51" s="189" t="s">
        <v>433</v>
      </c>
      <c r="C51" s="8">
        <v>0</v>
      </c>
      <c r="D51" s="22">
        <v>-2702775.78</v>
      </c>
      <c r="E51" s="102">
        <v>0</v>
      </c>
    </row>
    <row r="52" spans="1:5" ht="25.5">
      <c r="A52" s="195" t="s">
        <v>16</v>
      </c>
      <c r="B52" s="196"/>
      <c r="C52" s="20">
        <f>C8+C33</f>
        <v>66930469.36999999</v>
      </c>
      <c r="D52" s="20">
        <f>D8+D33</f>
        <v>61808736.7</v>
      </c>
      <c r="E52" s="99">
        <f t="shared" si="0"/>
        <v>92.34768152948935</v>
      </c>
    </row>
    <row r="53" spans="2:3" ht="18.75">
      <c r="B53" s="23"/>
      <c r="C53" s="9"/>
    </row>
    <row r="54" ht="18.75">
      <c r="C54" s="9"/>
    </row>
    <row r="56" spans="2:3" ht="18.75">
      <c r="B56" s="12"/>
      <c r="C56" s="9"/>
    </row>
    <row r="57" spans="2:3" ht="18.75">
      <c r="B57" s="12"/>
      <c r="C57" s="11"/>
    </row>
    <row r="58" ht="18.75">
      <c r="C58" s="9"/>
    </row>
    <row r="59" ht="18.75">
      <c r="C59" s="9"/>
    </row>
    <row r="60" ht="18.75">
      <c r="C60" s="9"/>
    </row>
  </sheetData>
  <sheetProtection/>
  <mergeCells count="7">
    <mergeCell ref="B1:E3"/>
    <mergeCell ref="A19:B19"/>
    <mergeCell ref="A47:B47"/>
    <mergeCell ref="A52:B52"/>
    <mergeCell ref="A8:B8"/>
    <mergeCell ref="A9:B9"/>
    <mergeCell ref="A5:E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28">
      <selection activeCell="B52" sqref="B52"/>
    </sheetView>
  </sheetViews>
  <sheetFormatPr defaultColWidth="9.140625" defaultRowHeight="12.75"/>
  <cols>
    <col min="1" max="1" width="19.7109375" style="130" customWidth="1"/>
    <col min="2" max="2" width="104.28125" style="130" customWidth="1"/>
    <col min="3" max="5" width="22.7109375" style="130" hidden="1" customWidth="1"/>
    <col min="6" max="8" width="22.8515625" style="130" hidden="1" customWidth="1"/>
    <col min="9" max="9" width="19.8515625" style="130" bestFit="1" customWidth="1"/>
    <col min="10" max="10" width="19.7109375" style="130" bestFit="1" customWidth="1"/>
    <col min="11" max="11" width="17.7109375" style="130" bestFit="1" customWidth="1"/>
    <col min="12" max="16384" width="9.140625" style="130" customWidth="1"/>
  </cols>
  <sheetData>
    <row r="1" spans="3:11" ht="15" customHeight="1">
      <c r="C1" s="205" t="s">
        <v>443</v>
      </c>
      <c r="D1" s="205"/>
      <c r="E1" s="205"/>
      <c r="F1" s="205"/>
      <c r="G1" s="205"/>
      <c r="H1" s="205"/>
      <c r="I1" s="205"/>
      <c r="J1" s="205"/>
      <c r="K1" s="205"/>
    </row>
    <row r="2" spans="3:11" ht="15">
      <c r="C2" s="205"/>
      <c r="D2" s="205"/>
      <c r="E2" s="205"/>
      <c r="F2" s="205"/>
      <c r="G2" s="205"/>
      <c r="H2" s="205"/>
      <c r="I2" s="205"/>
      <c r="J2" s="205"/>
      <c r="K2" s="205"/>
    </row>
    <row r="3" spans="3:11" ht="15">
      <c r="C3" s="205"/>
      <c r="D3" s="205"/>
      <c r="E3" s="205"/>
      <c r="F3" s="205"/>
      <c r="G3" s="205"/>
      <c r="H3" s="205"/>
      <c r="I3" s="205"/>
      <c r="J3" s="205"/>
      <c r="K3" s="205"/>
    </row>
    <row r="4" spans="3:11" ht="15">
      <c r="C4" s="205"/>
      <c r="D4" s="205"/>
      <c r="E4" s="205"/>
      <c r="F4" s="205"/>
      <c r="G4" s="205"/>
      <c r="H4" s="205"/>
      <c r="I4" s="205"/>
      <c r="J4" s="205"/>
      <c r="K4" s="205"/>
    </row>
    <row r="5" spans="3:11" ht="15"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8" customHeight="1">
      <c r="A6" s="206" t="s">
        <v>462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40.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9" ht="15.75">
      <c r="A8" s="26"/>
      <c r="B8" s="26"/>
      <c r="C8" s="26"/>
      <c r="D8" s="26"/>
      <c r="E8" s="26"/>
      <c r="F8" s="26"/>
      <c r="G8" s="26"/>
      <c r="H8" s="26"/>
      <c r="I8" s="26"/>
    </row>
    <row r="9" spans="9:11" ht="15">
      <c r="I9" s="204" t="s">
        <v>20</v>
      </c>
      <c r="J9" s="204"/>
      <c r="K9" s="204"/>
    </row>
    <row r="10" spans="1:11" ht="15.75">
      <c r="A10" s="202" t="s">
        <v>68</v>
      </c>
      <c r="B10" s="202" t="s">
        <v>69</v>
      </c>
      <c r="C10" s="202" t="s">
        <v>70</v>
      </c>
      <c r="D10" s="202"/>
      <c r="E10" s="202"/>
      <c r="F10" s="202" t="s">
        <v>71</v>
      </c>
      <c r="G10" s="202"/>
      <c r="H10" s="202"/>
      <c r="I10" s="202" t="s">
        <v>396</v>
      </c>
      <c r="J10" s="202"/>
      <c r="K10" s="202"/>
    </row>
    <row r="11" spans="1:11" ht="15.75" customHeight="1">
      <c r="A11" s="202"/>
      <c r="B11" s="202"/>
      <c r="C11" s="202" t="s">
        <v>395</v>
      </c>
      <c r="D11" s="202" t="s">
        <v>408</v>
      </c>
      <c r="E11" s="202" t="s">
        <v>394</v>
      </c>
      <c r="F11" s="202" t="s">
        <v>395</v>
      </c>
      <c r="G11" s="202" t="s">
        <v>408</v>
      </c>
      <c r="H11" s="202" t="s">
        <v>394</v>
      </c>
      <c r="I11" s="202" t="s">
        <v>395</v>
      </c>
      <c r="J11" s="202" t="s">
        <v>434</v>
      </c>
      <c r="K11" s="202" t="s">
        <v>394</v>
      </c>
    </row>
    <row r="12" spans="1:11" ht="15.7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</row>
    <row r="13" spans="1:11" ht="15.7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</row>
    <row r="14" spans="1:11" ht="15.7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11" ht="15.75">
      <c r="A15" s="137" t="s">
        <v>72</v>
      </c>
      <c r="B15" s="103" t="s">
        <v>73</v>
      </c>
      <c r="C15" s="104">
        <f>SUM(C16:C22)</f>
        <v>0</v>
      </c>
      <c r="D15" s="104"/>
      <c r="E15" s="104"/>
      <c r="F15" s="104">
        <f>SUM(F16:F22)</f>
        <v>8802537.55</v>
      </c>
      <c r="G15" s="104">
        <f>SUM(G16:G22)</f>
        <v>4742080.1</v>
      </c>
      <c r="H15" s="104">
        <f>(G15/F15)*100</f>
        <v>53.87173951902084</v>
      </c>
      <c r="I15" s="104">
        <f>SUM(I16:I22)</f>
        <v>9601807.81</v>
      </c>
      <c r="J15" s="112">
        <f>J16+J17+J18+J19+J20+J21+J22</f>
        <v>9384008.72</v>
      </c>
      <c r="K15" s="112">
        <f>(J15/I15)*100</f>
        <v>97.73168663329037</v>
      </c>
    </row>
    <row r="16" spans="1:11" ht="30" customHeight="1">
      <c r="A16" s="138" t="s">
        <v>74</v>
      </c>
      <c r="B16" s="106" t="s">
        <v>75</v>
      </c>
      <c r="C16" s="105">
        <v>0</v>
      </c>
      <c r="D16" s="105"/>
      <c r="E16" s="104"/>
      <c r="F16" s="105">
        <f>635595.41</f>
        <v>635595.41</v>
      </c>
      <c r="G16" s="105">
        <v>162442.5</v>
      </c>
      <c r="H16" s="104">
        <f aca="true" t="shared" si="0" ref="H16:H46">(G16/F16)*100</f>
        <v>25.557531952598588</v>
      </c>
      <c r="I16" s="105">
        <v>699928.91</v>
      </c>
      <c r="J16" s="108">
        <v>699928.91</v>
      </c>
      <c r="K16" s="108">
        <f aca="true" t="shared" si="1" ref="K16:K46">(J16/I16)*100</f>
        <v>100</v>
      </c>
    </row>
    <row r="17" spans="1:11" ht="30">
      <c r="A17" s="138" t="s">
        <v>76</v>
      </c>
      <c r="B17" s="106" t="s">
        <v>77</v>
      </c>
      <c r="C17" s="105"/>
      <c r="D17" s="105"/>
      <c r="E17" s="104"/>
      <c r="F17" s="105">
        <v>39400</v>
      </c>
      <c r="G17" s="105"/>
      <c r="H17" s="107">
        <f t="shared" si="0"/>
        <v>0</v>
      </c>
      <c r="I17" s="105">
        <v>0</v>
      </c>
      <c r="J17" s="108">
        <f>D17+G17</f>
        <v>0</v>
      </c>
      <c r="K17" s="108">
        <v>0</v>
      </c>
    </row>
    <row r="18" spans="1:11" ht="30">
      <c r="A18" s="138" t="s">
        <v>78</v>
      </c>
      <c r="B18" s="106" t="s">
        <v>79</v>
      </c>
      <c r="C18" s="105">
        <v>0</v>
      </c>
      <c r="D18" s="105"/>
      <c r="E18" s="104"/>
      <c r="F18" s="105">
        <v>6054954.86</v>
      </c>
      <c r="G18" s="105">
        <v>3211555.26</v>
      </c>
      <c r="H18" s="107">
        <f t="shared" si="0"/>
        <v>53.040118948136964</v>
      </c>
      <c r="I18" s="105">
        <v>7057354.62</v>
      </c>
      <c r="J18" s="108">
        <v>7057354.62</v>
      </c>
      <c r="K18" s="108">
        <f t="shared" si="1"/>
        <v>100</v>
      </c>
    </row>
    <row r="19" spans="1:11" ht="30">
      <c r="A19" s="138" t="s">
        <v>80</v>
      </c>
      <c r="B19" s="106" t="s">
        <v>81</v>
      </c>
      <c r="C19" s="105"/>
      <c r="D19" s="105"/>
      <c r="E19" s="104"/>
      <c r="F19" s="105">
        <v>173160</v>
      </c>
      <c r="G19" s="105">
        <v>86580</v>
      </c>
      <c r="H19" s="107">
        <f t="shared" si="0"/>
        <v>50</v>
      </c>
      <c r="I19" s="105">
        <v>135896.3</v>
      </c>
      <c r="J19" s="108">
        <v>135896.3</v>
      </c>
      <c r="K19" s="108">
        <f t="shared" si="1"/>
        <v>100</v>
      </c>
    </row>
    <row r="20" spans="1:11" ht="15.75">
      <c r="A20" s="138" t="s">
        <v>82</v>
      </c>
      <c r="B20" s="106" t="s">
        <v>83</v>
      </c>
      <c r="C20" s="105"/>
      <c r="D20" s="105"/>
      <c r="E20" s="104"/>
      <c r="F20" s="105">
        <f>996000+97372</f>
        <v>1093372</v>
      </c>
      <c r="G20" s="105">
        <v>1042323</v>
      </c>
      <c r="H20" s="107">
        <f t="shared" si="0"/>
        <v>95.3310492677698</v>
      </c>
      <c r="I20" s="105">
        <v>1042323</v>
      </c>
      <c r="J20" s="108">
        <v>1042323</v>
      </c>
      <c r="K20" s="108">
        <f t="shared" si="1"/>
        <v>100</v>
      </c>
    </row>
    <row r="21" spans="1:11" ht="15.75">
      <c r="A21" s="138" t="s">
        <v>84</v>
      </c>
      <c r="B21" s="106" t="s">
        <v>85</v>
      </c>
      <c r="C21" s="105"/>
      <c r="D21" s="105"/>
      <c r="E21" s="104"/>
      <c r="F21" s="105">
        <v>155000</v>
      </c>
      <c r="G21" s="105"/>
      <c r="H21" s="107">
        <f t="shared" si="0"/>
        <v>0</v>
      </c>
      <c r="I21" s="105">
        <f>SUM(C21:F21)</f>
        <v>155000</v>
      </c>
      <c r="J21" s="108">
        <f>D21+G21</f>
        <v>0</v>
      </c>
      <c r="K21" s="108">
        <f t="shared" si="1"/>
        <v>0</v>
      </c>
    </row>
    <row r="22" spans="1:11" ht="15.75">
      <c r="A22" s="138" t="s">
        <v>86</v>
      </c>
      <c r="B22" s="106" t="s">
        <v>87</v>
      </c>
      <c r="C22" s="105">
        <v>0</v>
      </c>
      <c r="D22" s="105"/>
      <c r="E22" s="104"/>
      <c r="F22" s="105">
        <v>651055.28</v>
      </c>
      <c r="G22" s="105">
        <v>239179.34</v>
      </c>
      <c r="H22" s="107">
        <f t="shared" si="0"/>
        <v>36.737178446659705</v>
      </c>
      <c r="I22" s="105">
        <v>511304.98</v>
      </c>
      <c r="J22" s="108">
        <v>448505.89</v>
      </c>
      <c r="K22" s="108">
        <f t="shared" si="1"/>
        <v>87.71788023656644</v>
      </c>
    </row>
    <row r="23" spans="1:11" ht="15.75">
      <c r="A23" s="137" t="s">
        <v>88</v>
      </c>
      <c r="B23" s="103" t="s">
        <v>89</v>
      </c>
      <c r="C23" s="104">
        <f>SUM(C24)</f>
        <v>389318</v>
      </c>
      <c r="D23" s="104">
        <f>D24</f>
        <v>194659</v>
      </c>
      <c r="E23" s="104">
        <f>(D23/C23)*100</f>
        <v>50</v>
      </c>
      <c r="F23" s="104"/>
      <c r="G23" s="104"/>
      <c r="H23" s="104"/>
      <c r="I23" s="104">
        <f>SUM(I24)</f>
        <v>389318</v>
      </c>
      <c r="J23" s="112">
        <f>J24</f>
        <v>389318</v>
      </c>
      <c r="K23" s="112">
        <f t="shared" si="1"/>
        <v>100</v>
      </c>
    </row>
    <row r="24" spans="1:11" ht="15.75">
      <c r="A24" s="138" t="s">
        <v>90</v>
      </c>
      <c r="B24" s="106" t="s">
        <v>91</v>
      </c>
      <c r="C24" s="105">
        <v>389318</v>
      </c>
      <c r="D24" s="105">
        <v>194659</v>
      </c>
      <c r="E24" s="104">
        <f>(D24/C24)*100</f>
        <v>50</v>
      </c>
      <c r="F24" s="105"/>
      <c r="G24" s="105"/>
      <c r="H24" s="104"/>
      <c r="I24" s="105">
        <f>SUM(C24)</f>
        <v>389318</v>
      </c>
      <c r="J24" s="108">
        <v>389318</v>
      </c>
      <c r="K24" s="108">
        <f t="shared" si="1"/>
        <v>100</v>
      </c>
    </row>
    <row r="25" spans="1:11" ht="15.75">
      <c r="A25" s="137" t="s">
        <v>92</v>
      </c>
      <c r="B25" s="103" t="s">
        <v>93</v>
      </c>
      <c r="C25" s="104"/>
      <c r="D25" s="104"/>
      <c r="E25" s="104"/>
      <c r="F25" s="104">
        <f>SUM(F26:F28)</f>
        <v>269000</v>
      </c>
      <c r="G25" s="104">
        <f>SUM(G26:G28)</f>
        <v>42720</v>
      </c>
      <c r="H25" s="104">
        <f t="shared" si="0"/>
        <v>15.881040892193306</v>
      </c>
      <c r="I25" s="104">
        <f>I26+I27+I28</f>
        <v>99550</v>
      </c>
      <c r="J25" s="112">
        <f>J26+J27+J28</f>
        <v>99550</v>
      </c>
      <c r="K25" s="112">
        <f t="shared" si="1"/>
        <v>100</v>
      </c>
    </row>
    <row r="26" spans="1:11" ht="30">
      <c r="A26" s="138" t="s">
        <v>94</v>
      </c>
      <c r="B26" s="106" t="s">
        <v>95</v>
      </c>
      <c r="C26" s="105"/>
      <c r="D26" s="105"/>
      <c r="E26" s="104"/>
      <c r="F26" s="105">
        <v>63764</v>
      </c>
      <c r="G26" s="105">
        <v>0</v>
      </c>
      <c r="H26" s="107">
        <f t="shared" si="0"/>
        <v>0</v>
      </c>
      <c r="I26" s="105">
        <v>0</v>
      </c>
      <c r="J26" s="108">
        <f>D26+G26</f>
        <v>0</v>
      </c>
      <c r="K26" s="108">
        <v>0</v>
      </c>
    </row>
    <row r="27" spans="1:11" ht="15.75">
      <c r="A27" s="138" t="s">
        <v>96</v>
      </c>
      <c r="B27" s="106" t="s">
        <v>97</v>
      </c>
      <c r="C27" s="105"/>
      <c r="D27" s="105"/>
      <c r="E27" s="104"/>
      <c r="F27" s="105">
        <v>106236</v>
      </c>
      <c r="G27" s="105">
        <v>0</v>
      </c>
      <c r="H27" s="107">
        <f t="shared" si="0"/>
        <v>0</v>
      </c>
      <c r="I27" s="105">
        <v>0</v>
      </c>
      <c r="J27" s="108">
        <f>D27+G27</f>
        <v>0</v>
      </c>
      <c r="K27" s="108">
        <v>0</v>
      </c>
    </row>
    <row r="28" spans="1:11" ht="37.5" customHeight="1">
      <c r="A28" s="138" t="s">
        <v>98</v>
      </c>
      <c r="B28" s="106" t="s">
        <v>99</v>
      </c>
      <c r="C28" s="105"/>
      <c r="D28" s="105"/>
      <c r="E28" s="104"/>
      <c r="F28" s="105">
        <v>99000</v>
      </c>
      <c r="G28" s="105">
        <v>42720</v>
      </c>
      <c r="H28" s="107">
        <f t="shared" si="0"/>
        <v>43.15151515151515</v>
      </c>
      <c r="I28" s="105">
        <v>99550</v>
      </c>
      <c r="J28" s="108">
        <v>99550</v>
      </c>
      <c r="K28" s="108">
        <f t="shared" si="1"/>
        <v>100</v>
      </c>
    </row>
    <row r="29" spans="1:11" ht="15.75">
      <c r="A29" s="137" t="s">
        <v>100</v>
      </c>
      <c r="B29" s="103" t="s">
        <v>101</v>
      </c>
      <c r="C29" s="104">
        <f>C30+C31</f>
        <v>3665468.3</v>
      </c>
      <c r="D29" s="104">
        <f>D30+D31</f>
        <v>626642.42</v>
      </c>
      <c r="E29" s="104">
        <f>(D29/C29)*100</f>
        <v>17.095835203376332</v>
      </c>
      <c r="F29" s="104">
        <f>F30+F31</f>
        <v>6678221.03</v>
      </c>
      <c r="G29" s="104">
        <f>G30+G31</f>
        <v>1645890.3</v>
      </c>
      <c r="H29" s="104">
        <f t="shared" si="0"/>
        <v>24.645639798477887</v>
      </c>
      <c r="I29" s="104">
        <f>I30+I31</f>
        <v>9323819.27</v>
      </c>
      <c r="J29" s="112">
        <f>J30+J31</f>
        <v>7430533.88</v>
      </c>
      <c r="K29" s="112">
        <f t="shared" si="1"/>
        <v>79.69410029115677</v>
      </c>
    </row>
    <row r="30" spans="1:11" ht="15.75">
      <c r="A30" s="139" t="s">
        <v>102</v>
      </c>
      <c r="B30" s="131" t="s">
        <v>103</v>
      </c>
      <c r="C30" s="107">
        <v>0</v>
      </c>
      <c r="D30" s="107"/>
      <c r="E30" s="104"/>
      <c r="F30" s="107">
        <v>1150000</v>
      </c>
      <c r="G30" s="107">
        <v>0</v>
      </c>
      <c r="H30" s="107">
        <f t="shared" si="0"/>
        <v>0</v>
      </c>
      <c r="I30" s="107">
        <v>41760</v>
      </c>
      <c r="J30" s="108">
        <v>41760</v>
      </c>
      <c r="K30" s="132">
        <f t="shared" si="1"/>
        <v>100</v>
      </c>
    </row>
    <row r="31" spans="1:11" ht="15.75">
      <c r="A31" s="138" t="s">
        <v>104</v>
      </c>
      <c r="B31" s="106" t="s">
        <v>105</v>
      </c>
      <c r="C31" s="105">
        <v>3665468.3</v>
      </c>
      <c r="D31" s="105">
        <v>626642.42</v>
      </c>
      <c r="E31" s="104">
        <f>(D31/C31)*100</f>
        <v>17.095835203376332</v>
      </c>
      <c r="F31" s="105">
        <v>5528221.03</v>
      </c>
      <c r="G31" s="105">
        <v>1645890.3</v>
      </c>
      <c r="H31" s="107">
        <f t="shared" si="0"/>
        <v>29.77251255093178</v>
      </c>
      <c r="I31" s="105">
        <v>9282059.27</v>
      </c>
      <c r="J31" s="108">
        <v>7388773.88</v>
      </c>
      <c r="K31" s="108">
        <f t="shared" si="1"/>
        <v>79.60274401479877</v>
      </c>
    </row>
    <row r="32" spans="1:11" ht="15.75">
      <c r="A32" s="137" t="s">
        <v>106</v>
      </c>
      <c r="B32" s="103" t="s">
        <v>107</v>
      </c>
      <c r="C32" s="104">
        <f>SUM(C33+C34+C35+C36)</f>
        <v>1095650.23</v>
      </c>
      <c r="D32" s="104">
        <f>SUM(D33+D34+D35+D36)</f>
        <v>0</v>
      </c>
      <c r="E32" s="104">
        <f>(D32/C32)*100</f>
        <v>0</v>
      </c>
      <c r="F32" s="104">
        <f>SUM(F33:F36)</f>
        <v>21252019.689999998</v>
      </c>
      <c r="G32" s="104">
        <f>SUM(G33:G36)</f>
        <v>7984535.16</v>
      </c>
      <c r="H32" s="104">
        <f t="shared" si="0"/>
        <v>37.57071222626936</v>
      </c>
      <c r="I32" s="104">
        <f>I33+I34+I35+I36</f>
        <v>21481135.729999997</v>
      </c>
      <c r="J32" s="112">
        <f>J33+J34+J35+J36</f>
        <v>20480141.96</v>
      </c>
      <c r="K32" s="112">
        <f t="shared" si="1"/>
        <v>95.34012641332538</v>
      </c>
    </row>
    <row r="33" spans="1:11" ht="15.75">
      <c r="A33" s="138" t="s">
        <v>108</v>
      </c>
      <c r="B33" s="106" t="s">
        <v>109</v>
      </c>
      <c r="C33" s="105">
        <v>0</v>
      </c>
      <c r="D33" s="105"/>
      <c r="E33" s="104"/>
      <c r="F33" s="105">
        <v>3548455</v>
      </c>
      <c r="G33" s="105">
        <v>759058.66</v>
      </c>
      <c r="H33" s="107">
        <f t="shared" si="0"/>
        <v>21.391243794834654</v>
      </c>
      <c r="I33" s="105">
        <v>2173905.67</v>
      </c>
      <c r="J33" s="108">
        <v>2173905.67</v>
      </c>
      <c r="K33" s="108">
        <f t="shared" si="1"/>
        <v>100</v>
      </c>
    </row>
    <row r="34" spans="1:11" ht="15">
      <c r="A34" s="138" t="s">
        <v>110</v>
      </c>
      <c r="B34" s="106" t="s">
        <v>111</v>
      </c>
      <c r="C34" s="105">
        <v>200000</v>
      </c>
      <c r="D34" s="105">
        <v>0</v>
      </c>
      <c r="E34" s="107">
        <v>0</v>
      </c>
      <c r="F34" s="105">
        <f>1540982.51-97372</f>
        <v>1443610.51</v>
      </c>
      <c r="G34" s="105">
        <v>230318.36</v>
      </c>
      <c r="H34" s="107">
        <f t="shared" si="0"/>
        <v>15.954328290391844</v>
      </c>
      <c r="I34" s="105">
        <f>602899.95+495618.6</f>
        <v>1098518.5499999998</v>
      </c>
      <c r="J34" s="108">
        <f>577982.51+441624.98</f>
        <v>1019607.49</v>
      </c>
      <c r="K34" s="108">
        <f t="shared" si="1"/>
        <v>92.81659285589672</v>
      </c>
    </row>
    <row r="35" spans="1:11" ht="15.75">
      <c r="A35" s="139" t="s">
        <v>112</v>
      </c>
      <c r="B35" s="131" t="s">
        <v>113</v>
      </c>
      <c r="C35" s="107">
        <v>881116</v>
      </c>
      <c r="D35" s="107"/>
      <c r="E35" s="104"/>
      <c r="F35" s="107">
        <v>9154669.77</v>
      </c>
      <c r="G35" s="107">
        <v>3445641.15</v>
      </c>
      <c r="H35" s="107">
        <f t="shared" si="0"/>
        <v>37.63807146044111</v>
      </c>
      <c r="I35" s="107">
        <f>4176955.59+6035255.14</f>
        <v>10212210.73</v>
      </c>
      <c r="J35" s="108">
        <f>4176955.59+4170782.79+999121.33</f>
        <v>9346859.709999999</v>
      </c>
      <c r="K35" s="108">
        <f t="shared" si="1"/>
        <v>91.52631058172453</v>
      </c>
    </row>
    <row r="36" spans="1:17" ht="15" customHeight="1">
      <c r="A36" s="138" t="s">
        <v>114</v>
      </c>
      <c r="B36" s="131" t="s">
        <v>115</v>
      </c>
      <c r="C36" s="105">
        <v>14534.23</v>
      </c>
      <c r="D36" s="105"/>
      <c r="E36" s="104"/>
      <c r="F36" s="105">
        <v>7105284.41</v>
      </c>
      <c r="G36" s="105">
        <v>3549516.99</v>
      </c>
      <c r="H36" s="107">
        <f t="shared" si="0"/>
        <v>49.95601562415149</v>
      </c>
      <c r="I36" s="105">
        <f>98832.51+7897668.27</f>
        <v>7996500.779999999</v>
      </c>
      <c r="J36" s="108">
        <f>98832.51+7840936.58</f>
        <v>7939769.09</v>
      </c>
      <c r="K36" s="108">
        <f t="shared" si="1"/>
        <v>99.29054355697818</v>
      </c>
      <c r="L36" s="133"/>
      <c r="M36" s="133"/>
      <c r="N36" s="133"/>
      <c r="O36" s="133"/>
      <c r="P36" s="133"/>
      <c r="Q36" s="133"/>
    </row>
    <row r="37" spans="1:11" ht="15.75">
      <c r="A37" s="137" t="s">
        <v>116</v>
      </c>
      <c r="B37" s="103" t="s">
        <v>117</v>
      </c>
      <c r="C37" s="104"/>
      <c r="D37" s="104"/>
      <c r="E37" s="104"/>
      <c r="F37" s="104">
        <f>F38</f>
        <v>210000</v>
      </c>
      <c r="G37" s="104">
        <f>G38</f>
        <v>2984.27</v>
      </c>
      <c r="H37" s="104">
        <f t="shared" si="0"/>
        <v>1.4210809523809522</v>
      </c>
      <c r="I37" s="104">
        <f>I38</f>
        <v>96411.81</v>
      </c>
      <c r="J37" s="112">
        <v>96411.81</v>
      </c>
      <c r="K37" s="112">
        <f t="shared" si="1"/>
        <v>100</v>
      </c>
    </row>
    <row r="38" spans="1:11" ht="15.75">
      <c r="A38" s="138" t="s">
        <v>118</v>
      </c>
      <c r="B38" s="106" t="s">
        <v>119</v>
      </c>
      <c r="C38" s="105"/>
      <c r="D38" s="105"/>
      <c r="E38" s="104"/>
      <c r="F38" s="105">
        <v>210000</v>
      </c>
      <c r="G38" s="105">
        <v>2984.27</v>
      </c>
      <c r="H38" s="107">
        <f t="shared" si="0"/>
        <v>1.4210809523809522</v>
      </c>
      <c r="I38" s="105">
        <v>96411.81</v>
      </c>
      <c r="J38" s="108">
        <v>96411.81</v>
      </c>
      <c r="K38" s="108">
        <f t="shared" si="1"/>
        <v>100</v>
      </c>
    </row>
    <row r="39" spans="1:11" ht="15" customHeight="1">
      <c r="A39" s="137" t="s">
        <v>120</v>
      </c>
      <c r="B39" s="103" t="s">
        <v>121</v>
      </c>
      <c r="C39" s="104">
        <f>SUM(C40)</f>
        <v>2606130</v>
      </c>
      <c r="D39" s="104">
        <f>SUM(D40)</f>
        <v>1106130</v>
      </c>
      <c r="E39" s="104">
        <f>(D39/C39)*100</f>
        <v>42.443393077091315</v>
      </c>
      <c r="F39" s="104">
        <f>SUM(F40)</f>
        <v>22750941.5</v>
      </c>
      <c r="G39" s="104">
        <f>SUM(G40)</f>
        <v>7721909.7</v>
      </c>
      <c r="H39" s="104">
        <f t="shared" si="0"/>
        <v>33.941055582249206</v>
      </c>
      <c r="I39" s="109">
        <f>I40</f>
        <v>23338756.77</v>
      </c>
      <c r="J39" s="112">
        <f>J40</f>
        <v>21175964.17</v>
      </c>
      <c r="K39" s="112">
        <f t="shared" si="1"/>
        <v>90.73304280380485</v>
      </c>
    </row>
    <row r="40" spans="1:11" ht="15.75">
      <c r="A40" s="138" t="s">
        <v>122</v>
      </c>
      <c r="B40" s="106" t="s">
        <v>123</v>
      </c>
      <c r="C40" s="105">
        <f>1106130+1500000</f>
        <v>2606130</v>
      </c>
      <c r="D40" s="105">
        <v>1106130</v>
      </c>
      <c r="E40" s="104">
        <f>(D40/C40)*100</f>
        <v>42.443393077091315</v>
      </c>
      <c r="F40" s="105">
        <v>22750941.5</v>
      </c>
      <c r="G40" s="105">
        <v>7721909.7</v>
      </c>
      <c r="H40" s="107">
        <f t="shared" si="0"/>
        <v>33.941055582249206</v>
      </c>
      <c r="I40" s="105">
        <v>23338756.77</v>
      </c>
      <c r="J40" s="108">
        <f>211547.37+20964416.8</f>
        <v>21175964.17</v>
      </c>
      <c r="K40" s="108">
        <f t="shared" si="1"/>
        <v>90.73304280380485</v>
      </c>
    </row>
    <row r="41" spans="1:11" ht="15.75">
      <c r="A41" s="137" t="s">
        <v>124</v>
      </c>
      <c r="B41" s="103" t="s">
        <v>125</v>
      </c>
      <c r="C41" s="104">
        <f>SUM(C42:C43)</f>
        <v>1912069</v>
      </c>
      <c r="D41" s="104">
        <f>D43</f>
        <v>13700</v>
      </c>
      <c r="E41" s="104">
        <f>(D41/C41)*100</f>
        <v>0.7165013396483076</v>
      </c>
      <c r="F41" s="104">
        <f>SUM(F42:F43)</f>
        <v>1846398.14</v>
      </c>
      <c r="G41" s="104">
        <f>SUM(G42:G43)</f>
        <v>141846</v>
      </c>
      <c r="H41" s="104">
        <f t="shared" si="0"/>
        <v>7.6823084321347945</v>
      </c>
      <c r="I41" s="104">
        <f>I42+I43</f>
        <v>3333901.94</v>
      </c>
      <c r="J41" s="112">
        <f>J42+J43</f>
        <v>3327616.74</v>
      </c>
      <c r="K41" s="112">
        <f t="shared" si="1"/>
        <v>99.8114761587739</v>
      </c>
    </row>
    <row r="42" spans="1:11" ht="15">
      <c r="A42" s="138" t="s">
        <v>126</v>
      </c>
      <c r="B42" s="106" t="s">
        <v>127</v>
      </c>
      <c r="C42" s="105"/>
      <c r="D42" s="105"/>
      <c r="E42" s="107"/>
      <c r="F42" s="105">
        <v>180000</v>
      </c>
      <c r="G42" s="105">
        <v>84816</v>
      </c>
      <c r="H42" s="107">
        <f t="shared" si="0"/>
        <v>47.12</v>
      </c>
      <c r="I42" s="105">
        <v>169632</v>
      </c>
      <c r="J42" s="108">
        <v>169632</v>
      </c>
      <c r="K42" s="108">
        <f t="shared" si="1"/>
        <v>100</v>
      </c>
    </row>
    <row r="43" spans="1:11" ht="15.75">
      <c r="A43" s="138" t="s">
        <v>128</v>
      </c>
      <c r="B43" s="106" t="s">
        <v>129</v>
      </c>
      <c r="C43" s="105">
        <v>1912069</v>
      </c>
      <c r="D43" s="105">
        <v>13700</v>
      </c>
      <c r="E43" s="107">
        <f>(D43/C43)*100</f>
        <v>0.7165013396483076</v>
      </c>
      <c r="F43" s="105">
        <v>1666398.14</v>
      </c>
      <c r="G43" s="105">
        <v>57030</v>
      </c>
      <c r="H43" s="104">
        <f t="shared" si="0"/>
        <v>3.422351395567449</v>
      </c>
      <c r="I43" s="105">
        <v>3164269.94</v>
      </c>
      <c r="J43" s="108">
        <f>272962.74+2885022</f>
        <v>3157984.74</v>
      </c>
      <c r="K43" s="108">
        <f t="shared" si="1"/>
        <v>99.80136966443514</v>
      </c>
    </row>
    <row r="44" spans="1:11" ht="15.75">
      <c r="A44" s="137" t="s">
        <v>130</v>
      </c>
      <c r="B44" s="103" t="s">
        <v>131</v>
      </c>
      <c r="C44" s="104">
        <f>C45</f>
        <v>785412</v>
      </c>
      <c r="D44" s="104">
        <f>D45</f>
        <v>785411.36</v>
      </c>
      <c r="E44" s="104">
        <f>(D44/C44)*100</f>
        <v>99.9999185141047</v>
      </c>
      <c r="F44" s="104">
        <f>SUM(F45)</f>
        <v>486238</v>
      </c>
      <c r="G44" s="104">
        <f>G45</f>
        <v>153805.11</v>
      </c>
      <c r="H44" s="104">
        <f t="shared" si="0"/>
        <v>31.631651578033797</v>
      </c>
      <c r="I44" s="109">
        <f>I45</f>
        <v>1601123.95</v>
      </c>
      <c r="J44" s="112">
        <f>J45</f>
        <v>1448433.31</v>
      </c>
      <c r="K44" s="112">
        <f t="shared" si="1"/>
        <v>90.46353406930177</v>
      </c>
    </row>
    <row r="45" spans="1:11" ht="15.75">
      <c r="A45" s="138" t="s">
        <v>132</v>
      </c>
      <c r="B45" s="106" t="s">
        <v>133</v>
      </c>
      <c r="C45" s="105">
        <v>785412</v>
      </c>
      <c r="D45" s="105">
        <v>785411.36</v>
      </c>
      <c r="E45" s="104">
        <f>(D45/C45)*100</f>
        <v>99.9999185141047</v>
      </c>
      <c r="F45" s="105">
        <v>486238</v>
      </c>
      <c r="G45" s="105">
        <v>153805.11</v>
      </c>
      <c r="H45" s="107">
        <f t="shared" si="0"/>
        <v>31.631651578033797</v>
      </c>
      <c r="I45" s="105">
        <v>1601123.95</v>
      </c>
      <c r="J45" s="108">
        <v>1448433.31</v>
      </c>
      <c r="K45" s="108">
        <f t="shared" si="1"/>
        <v>90.46353406930177</v>
      </c>
    </row>
    <row r="46" spans="1:11" ht="15.75">
      <c r="A46" s="140"/>
      <c r="B46" s="134" t="s">
        <v>134</v>
      </c>
      <c r="C46" s="110">
        <f>C15+C23+C25+C29+C32+C37+C39+C41+C45</f>
        <v>10454047.53</v>
      </c>
      <c r="D46" s="110">
        <f>D15+D23+D25+D29+D32+D37+D39+D41+D45</f>
        <v>2726542.78</v>
      </c>
      <c r="E46" s="104">
        <f>(D46/C46)*100</f>
        <v>26.081216602235973</v>
      </c>
      <c r="F46" s="110">
        <f>F15+F23+F25+F29+F32+F37+F39+F41+F44</f>
        <v>62295355.91</v>
      </c>
      <c r="G46" s="110">
        <f>G15+G23+G25+G29+G32+G37+G39+G41+G44</f>
        <v>22435770.639999997</v>
      </c>
      <c r="H46" s="104">
        <f t="shared" si="0"/>
        <v>36.01515765061787</v>
      </c>
      <c r="I46" s="110">
        <f>I15+I23+I25+I29+I32+I37+I39+I41+I44</f>
        <v>69265825.28</v>
      </c>
      <c r="J46" s="112">
        <f>J15+J23+J25+J29+J32+J37+J39+J41+J44</f>
        <v>63831978.59000001</v>
      </c>
      <c r="K46" s="112">
        <f t="shared" si="1"/>
        <v>92.15508272942073</v>
      </c>
    </row>
    <row r="47" spans="1:11" ht="15.75">
      <c r="A47" s="103"/>
      <c r="B47" s="103" t="s">
        <v>135</v>
      </c>
      <c r="C47" s="111"/>
      <c r="D47" s="111"/>
      <c r="E47" s="111"/>
      <c r="F47" s="111"/>
      <c r="G47" s="111"/>
      <c r="H47" s="111"/>
      <c r="I47" s="104">
        <f>('доходы (прил.1)'!C52)-I46</f>
        <v>-2335355.9100000113</v>
      </c>
      <c r="J47" s="112">
        <f>'доходы (прил.1)'!D52-J46</f>
        <v>-2023241.890000008</v>
      </c>
      <c r="K47" s="108"/>
    </row>
    <row r="48" spans="3:10" ht="15">
      <c r="C48" s="203"/>
      <c r="D48" s="203"/>
      <c r="E48" s="203"/>
      <c r="F48" s="203"/>
      <c r="G48" s="135"/>
      <c r="H48" s="135"/>
      <c r="I48" s="136"/>
      <c r="J48" s="136"/>
    </row>
    <row r="49" spans="6:9" ht="15">
      <c r="F49" s="135"/>
      <c r="G49" s="135"/>
      <c r="H49" s="135"/>
      <c r="I49" s="136"/>
    </row>
  </sheetData>
  <sheetProtection/>
  <mergeCells count="18">
    <mergeCell ref="I9:K9"/>
    <mergeCell ref="C1:K5"/>
    <mergeCell ref="A6:K7"/>
    <mergeCell ref="K11:K14"/>
    <mergeCell ref="I10:K10"/>
    <mergeCell ref="E11:E14"/>
    <mergeCell ref="C10:E10"/>
    <mergeCell ref="G11:G14"/>
    <mergeCell ref="H11:H14"/>
    <mergeCell ref="F10:H10"/>
    <mergeCell ref="J11:J14"/>
    <mergeCell ref="C48:F48"/>
    <mergeCell ref="A10:A14"/>
    <mergeCell ref="B10:B14"/>
    <mergeCell ref="C11:C14"/>
    <mergeCell ref="F11:F14"/>
    <mergeCell ref="I11:I14"/>
    <mergeCell ref="D11:D14"/>
  </mergeCell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6" r:id="rId1"/>
  <rowBreaks count="1" manualBreakCount="1">
    <brk id="47" max="4" man="1"/>
  </rowBreaks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F179"/>
  <sheetViews>
    <sheetView zoomScalePageLayoutView="0" workbookViewId="0" topLeftCell="A1">
      <selection activeCell="A179" sqref="A179"/>
    </sheetView>
  </sheetViews>
  <sheetFormatPr defaultColWidth="9.140625" defaultRowHeight="12.75"/>
  <cols>
    <col min="1" max="1" width="113.57421875" style="113" customWidth="1"/>
    <col min="2" max="2" width="11.00390625" style="123" customWidth="1"/>
    <col min="3" max="3" width="7.421875" style="113" customWidth="1"/>
    <col min="4" max="4" width="12.00390625" style="27" bestFit="1" customWidth="1"/>
    <col min="5" max="5" width="13.421875" style="126" customWidth="1"/>
    <col min="6" max="6" width="14.421875" style="114" bestFit="1" customWidth="1"/>
    <col min="7" max="16384" width="9.140625" style="113" customWidth="1"/>
  </cols>
  <sheetData>
    <row r="2" spans="1:6" ht="12.75">
      <c r="A2" s="207" t="s">
        <v>440</v>
      </c>
      <c r="B2" s="207"/>
      <c r="C2" s="207"/>
      <c r="D2" s="207"/>
      <c r="E2" s="207"/>
      <c r="F2" s="207"/>
    </row>
    <row r="4" spans="1:6" ht="45" customHeight="1">
      <c r="A4" s="208" t="s">
        <v>441</v>
      </c>
      <c r="B4" s="208"/>
      <c r="C4" s="208"/>
      <c r="D4" s="208"/>
      <c r="E4" s="208"/>
      <c r="F4" s="208"/>
    </row>
    <row r="5" spans="1:6" ht="31.5">
      <c r="A5" s="28" t="s">
        <v>136</v>
      </c>
      <c r="B5" s="29" t="s">
        <v>137</v>
      </c>
      <c r="C5" s="29" t="s">
        <v>138</v>
      </c>
      <c r="D5" s="30" t="s">
        <v>397</v>
      </c>
      <c r="E5" s="125" t="s">
        <v>439</v>
      </c>
      <c r="F5" s="124" t="s">
        <v>394</v>
      </c>
    </row>
    <row r="6" spans="1:6" s="114" customFormat="1" ht="12.75">
      <c r="A6" s="31">
        <v>1</v>
      </c>
      <c r="B6" s="31">
        <v>2</v>
      </c>
      <c r="C6" s="31">
        <v>3</v>
      </c>
      <c r="D6" s="32" t="s">
        <v>139</v>
      </c>
      <c r="E6" s="129">
        <v>5</v>
      </c>
      <c r="F6" s="32" t="s">
        <v>398</v>
      </c>
    </row>
    <row r="7" spans="1:6" s="149" customFormat="1" ht="12.75">
      <c r="A7" s="145" t="s">
        <v>140</v>
      </c>
      <c r="B7" s="152" t="s">
        <v>141</v>
      </c>
      <c r="C7" s="147" t="s">
        <v>142</v>
      </c>
      <c r="D7" s="148">
        <f aca="true" t="shared" si="0" ref="D7:E10">D8</f>
        <v>96411.81</v>
      </c>
      <c r="E7" s="148">
        <f t="shared" si="0"/>
        <v>96411.81</v>
      </c>
      <c r="F7" s="148">
        <f aca="true" t="shared" si="1" ref="F7:F12">(E7/D7)*100</f>
        <v>100</v>
      </c>
    </row>
    <row r="8" spans="1:162" s="116" customFormat="1" ht="12.75">
      <c r="A8" s="35" t="s">
        <v>143</v>
      </c>
      <c r="B8" s="36" t="s">
        <v>144</v>
      </c>
      <c r="C8" s="37" t="s">
        <v>142</v>
      </c>
      <c r="D8" s="38">
        <f t="shared" si="0"/>
        <v>96411.81</v>
      </c>
      <c r="E8" s="38">
        <f t="shared" si="0"/>
        <v>96411.81</v>
      </c>
      <c r="F8" s="38">
        <f t="shared" si="1"/>
        <v>100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</row>
    <row r="9" spans="1:162" s="117" customFormat="1" ht="12.75">
      <c r="A9" s="39" t="s">
        <v>145</v>
      </c>
      <c r="B9" s="40" t="s">
        <v>146</v>
      </c>
      <c r="C9" s="41"/>
      <c r="D9" s="42">
        <f t="shared" si="0"/>
        <v>96411.81</v>
      </c>
      <c r="E9" s="42">
        <f t="shared" si="0"/>
        <v>96411.81</v>
      </c>
      <c r="F9" s="42">
        <f t="shared" si="1"/>
        <v>100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</row>
    <row r="10" spans="1:6" ht="12.75">
      <c r="A10" s="43" t="s">
        <v>147</v>
      </c>
      <c r="B10" s="44" t="s">
        <v>148</v>
      </c>
      <c r="C10" s="45"/>
      <c r="D10" s="46">
        <f t="shared" si="0"/>
        <v>96411.81</v>
      </c>
      <c r="E10" s="46">
        <f t="shared" si="0"/>
        <v>96411.81</v>
      </c>
      <c r="F10" s="46">
        <f t="shared" si="1"/>
        <v>100</v>
      </c>
    </row>
    <row r="11" spans="1:6" ht="12.75">
      <c r="A11" s="43" t="s">
        <v>149</v>
      </c>
      <c r="B11" s="44"/>
      <c r="C11" s="45">
        <v>200</v>
      </c>
      <c r="D11" s="46">
        <v>96411.81</v>
      </c>
      <c r="E11" s="127">
        <v>96411.81</v>
      </c>
      <c r="F11" s="127">
        <f t="shared" si="1"/>
        <v>100</v>
      </c>
    </row>
    <row r="12" spans="1:6" s="149" customFormat="1" ht="12.75">
      <c r="A12" s="145" t="s">
        <v>150</v>
      </c>
      <c r="B12" s="151" t="s">
        <v>151</v>
      </c>
      <c r="C12" s="147" t="s">
        <v>142</v>
      </c>
      <c r="D12" s="148">
        <f>D13</f>
        <v>442594.74</v>
      </c>
      <c r="E12" s="148">
        <f>E13</f>
        <v>442594.74</v>
      </c>
      <c r="F12" s="148">
        <f t="shared" si="1"/>
        <v>100</v>
      </c>
    </row>
    <row r="13" spans="1:162" s="116" customFormat="1" ht="12.75">
      <c r="A13" s="35" t="s">
        <v>152</v>
      </c>
      <c r="B13" s="47" t="s">
        <v>153</v>
      </c>
      <c r="C13" s="37" t="s">
        <v>142</v>
      </c>
      <c r="D13" s="38">
        <f>D14+D19</f>
        <v>442594.74</v>
      </c>
      <c r="E13" s="38">
        <f>E14+E19</f>
        <v>442594.74</v>
      </c>
      <c r="F13" s="38">
        <f>F12</f>
        <v>100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</row>
    <row r="14" spans="1:162" s="117" customFormat="1" ht="12.75">
      <c r="A14" s="48" t="s">
        <v>154</v>
      </c>
      <c r="B14" s="49" t="s">
        <v>155</v>
      </c>
      <c r="C14" s="41"/>
      <c r="D14" s="42">
        <f>D15+D17</f>
        <v>243962.74</v>
      </c>
      <c r="E14" s="42">
        <f>E15+E17</f>
        <v>243962.74</v>
      </c>
      <c r="F14" s="141">
        <f aca="true" t="shared" si="2" ref="F14:F21">(E14/D14)*100</f>
        <v>100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</row>
    <row r="15" spans="1:6" ht="12.75">
      <c r="A15" s="43" t="s">
        <v>156</v>
      </c>
      <c r="B15" s="44" t="s">
        <v>157</v>
      </c>
      <c r="C15" s="45" t="s">
        <v>142</v>
      </c>
      <c r="D15" s="46">
        <f>D16</f>
        <v>205862.74</v>
      </c>
      <c r="E15" s="46">
        <f>E16</f>
        <v>205862.74</v>
      </c>
      <c r="F15" s="142">
        <f t="shared" si="2"/>
        <v>100</v>
      </c>
    </row>
    <row r="16" spans="1:6" ht="12.75">
      <c r="A16" s="43" t="s">
        <v>149</v>
      </c>
      <c r="B16" s="44"/>
      <c r="C16" s="45">
        <v>200</v>
      </c>
      <c r="D16" s="46">
        <v>205862.74</v>
      </c>
      <c r="E16" s="127">
        <v>205862.74</v>
      </c>
      <c r="F16" s="142">
        <f t="shared" si="2"/>
        <v>100</v>
      </c>
    </row>
    <row r="17" spans="1:6" ht="12.75">
      <c r="A17" s="43" t="s">
        <v>360</v>
      </c>
      <c r="B17" s="44" t="s">
        <v>422</v>
      </c>
      <c r="C17" s="45"/>
      <c r="D17" s="46">
        <f>D18</f>
        <v>38100</v>
      </c>
      <c r="E17" s="127">
        <f>E18</f>
        <v>38100</v>
      </c>
      <c r="F17" s="142">
        <f t="shared" si="2"/>
        <v>100</v>
      </c>
    </row>
    <row r="18" spans="1:6" ht="12.75">
      <c r="A18" s="43" t="s">
        <v>149</v>
      </c>
      <c r="B18" s="44"/>
      <c r="C18" s="45">
        <v>200</v>
      </c>
      <c r="D18" s="46">
        <v>38100</v>
      </c>
      <c r="E18" s="127">
        <v>38100</v>
      </c>
      <c r="F18" s="142">
        <f t="shared" si="2"/>
        <v>100</v>
      </c>
    </row>
    <row r="19" spans="1:162" s="119" customFormat="1" ht="12.75">
      <c r="A19" s="39" t="s">
        <v>158</v>
      </c>
      <c r="B19" s="49" t="s">
        <v>159</v>
      </c>
      <c r="C19" s="41"/>
      <c r="D19" s="42">
        <f>D20+D22</f>
        <v>198632</v>
      </c>
      <c r="E19" s="42">
        <f>E20+E22</f>
        <v>198632</v>
      </c>
      <c r="F19" s="141">
        <f t="shared" si="2"/>
        <v>100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</row>
    <row r="20" spans="1:6" ht="12.75">
      <c r="A20" s="43" t="s">
        <v>160</v>
      </c>
      <c r="B20" s="44" t="s">
        <v>161</v>
      </c>
      <c r="C20" s="45" t="s">
        <v>142</v>
      </c>
      <c r="D20" s="46">
        <f>D21</f>
        <v>29000</v>
      </c>
      <c r="E20" s="46">
        <f>E21</f>
        <v>29000</v>
      </c>
      <c r="F20" s="127">
        <f t="shared" si="2"/>
        <v>100</v>
      </c>
    </row>
    <row r="21" spans="1:6" ht="12.75">
      <c r="A21" s="43" t="s">
        <v>162</v>
      </c>
      <c r="B21" s="44"/>
      <c r="C21" s="45">
        <v>300</v>
      </c>
      <c r="D21" s="46">
        <v>29000</v>
      </c>
      <c r="E21" s="127">
        <v>29000</v>
      </c>
      <c r="F21" s="127">
        <f t="shared" si="2"/>
        <v>100</v>
      </c>
    </row>
    <row r="22" spans="1:6" ht="12.75">
      <c r="A22" s="43" t="s">
        <v>163</v>
      </c>
      <c r="B22" s="44" t="s">
        <v>164</v>
      </c>
      <c r="C22" s="45" t="s">
        <v>142</v>
      </c>
      <c r="D22" s="46">
        <f>D23</f>
        <v>169632</v>
      </c>
      <c r="E22" s="46">
        <f>E23</f>
        <v>169632</v>
      </c>
      <c r="F22" s="127">
        <f>F23</f>
        <v>100</v>
      </c>
    </row>
    <row r="23" spans="1:6" ht="12.75">
      <c r="A23" s="43" t="s">
        <v>162</v>
      </c>
      <c r="B23" s="44"/>
      <c r="C23" s="45">
        <v>300</v>
      </c>
      <c r="D23" s="46">
        <v>169632</v>
      </c>
      <c r="E23" s="127">
        <v>169632</v>
      </c>
      <c r="F23" s="127">
        <f>(E23/D23)*100</f>
        <v>100</v>
      </c>
    </row>
    <row r="24" spans="1:6" s="149" customFormat="1" ht="12.75">
      <c r="A24" s="145" t="s">
        <v>165</v>
      </c>
      <c r="B24" s="146" t="s">
        <v>166</v>
      </c>
      <c r="C24" s="147"/>
      <c r="D24" s="148">
        <f>D25+D33</f>
        <v>2891307.2</v>
      </c>
      <c r="E24" s="148">
        <f>E25+E33</f>
        <v>2885022</v>
      </c>
      <c r="F24" s="148">
        <f>F25+F33</f>
        <v>0</v>
      </c>
    </row>
    <row r="25" spans="1:162" s="116" customFormat="1" ht="12.75">
      <c r="A25" s="35" t="s">
        <v>167</v>
      </c>
      <c r="B25" s="51" t="s">
        <v>168</v>
      </c>
      <c r="C25" s="52"/>
      <c r="D25" s="38">
        <f>D26</f>
        <v>2891307.2</v>
      </c>
      <c r="E25" s="38">
        <f>E26</f>
        <v>2885022</v>
      </c>
      <c r="F25" s="38">
        <f>F26</f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</row>
    <row r="26" spans="1:162" s="117" customFormat="1" ht="12.75">
      <c r="A26" s="39" t="s">
        <v>169</v>
      </c>
      <c r="B26" s="49" t="s">
        <v>170</v>
      </c>
      <c r="C26" s="53"/>
      <c r="D26" s="42">
        <f>D27+D29+D31</f>
        <v>2891307.2</v>
      </c>
      <c r="E26" s="42">
        <f>E27+E29+E31</f>
        <v>2885022</v>
      </c>
      <c r="F26" s="42">
        <f>F27+F29+F31</f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</row>
    <row r="27" spans="1:6" ht="12.75">
      <c r="A27" s="43" t="s">
        <v>410</v>
      </c>
      <c r="B27" s="44" t="s">
        <v>409</v>
      </c>
      <c r="C27" s="45"/>
      <c r="D27" s="46">
        <f>D28</f>
        <v>2891307.2</v>
      </c>
      <c r="E27" s="46">
        <f>E28</f>
        <v>2885022</v>
      </c>
      <c r="F27" s="42">
        <f>F28+F30+F32</f>
        <v>0</v>
      </c>
    </row>
    <row r="28" spans="1:6" ht="12.75">
      <c r="A28" s="43" t="s">
        <v>162</v>
      </c>
      <c r="B28" s="44"/>
      <c r="C28" s="45">
        <v>300</v>
      </c>
      <c r="D28" s="46">
        <v>2891307.2</v>
      </c>
      <c r="E28" s="127">
        <v>2885022</v>
      </c>
      <c r="F28" s="42">
        <f>F29+F31+F33</f>
        <v>0</v>
      </c>
    </row>
    <row r="29" spans="1:6" ht="12.75" hidden="1">
      <c r="A29" s="43" t="s">
        <v>171</v>
      </c>
      <c r="B29" s="44" t="s">
        <v>172</v>
      </c>
      <c r="C29" s="45"/>
      <c r="D29" s="46">
        <f>D30</f>
        <v>0</v>
      </c>
      <c r="E29" s="127"/>
      <c r="F29" s="124"/>
    </row>
    <row r="30" spans="1:6" ht="12.75" hidden="1">
      <c r="A30" s="43" t="s">
        <v>162</v>
      </c>
      <c r="B30" s="44"/>
      <c r="C30" s="45">
        <v>300</v>
      </c>
      <c r="D30" s="46"/>
      <c r="E30" s="127"/>
      <c r="F30" s="124"/>
    </row>
    <row r="31" spans="1:6" ht="12.75" hidden="1">
      <c r="A31" s="43" t="s">
        <v>173</v>
      </c>
      <c r="B31" s="44" t="s">
        <v>174</v>
      </c>
      <c r="C31" s="45"/>
      <c r="D31" s="46">
        <f>D32</f>
        <v>0</v>
      </c>
      <c r="E31" s="127"/>
      <c r="F31" s="124"/>
    </row>
    <row r="32" spans="1:6" ht="12.75" hidden="1">
      <c r="A32" s="43" t="s">
        <v>162</v>
      </c>
      <c r="B32" s="44"/>
      <c r="C32" s="45">
        <v>300</v>
      </c>
      <c r="D32" s="46"/>
      <c r="E32" s="127"/>
      <c r="F32" s="124"/>
    </row>
    <row r="33" spans="1:6" ht="12.75" hidden="1">
      <c r="A33" s="35" t="s">
        <v>175</v>
      </c>
      <c r="B33" s="51" t="s">
        <v>176</v>
      </c>
      <c r="C33" s="37" t="s">
        <v>142</v>
      </c>
      <c r="D33" s="38">
        <f>D34</f>
        <v>0</v>
      </c>
      <c r="E33" s="127"/>
      <c r="F33" s="124"/>
    </row>
    <row r="34" spans="1:162" s="117" customFormat="1" ht="12.75" hidden="1">
      <c r="A34" s="39" t="s">
        <v>177</v>
      </c>
      <c r="B34" s="49" t="s">
        <v>178</v>
      </c>
      <c r="C34" s="41"/>
      <c r="D34" s="42">
        <f>D35+D37</f>
        <v>0</v>
      </c>
      <c r="E34" s="127"/>
      <c r="F34" s="124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</row>
    <row r="35" spans="1:6" ht="22.5" hidden="1">
      <c r="A35" s="43" t="s">
        <v>179</v>
      </c>
      <c r="B35" s="44" t="s">
        <v>180</v>
      </c>
      <c r="C35" s="45" t="s">
        <v>142</v>
      </c>
      <c r="D35" s="46">
        <f>D36</f>
        <v>0</v>
      </c>
      <c r="E35" s="127"/>
      <c r="F35" s="124"/>
    </row>
    <row r="36" spans="1:6" ht="12.75" hidden="1">
      <c r="A36" s="43" t="s">
        <v>181</v>
      </c>
      <c r="B36" s="44"/>
      <c r="C36" s="45">
        <v>400</v>
      </c>
      <c r="D36" s="46"/>
      <c r="E36" s="127"/>
      <c r="F36" s="124"/>
    </row>
    <row r="37" spans="1:6" ht="12.75" hidden="1">
      <c r="A37" s="43" t="s">
        <v>182</v>
      </c>
      <c r="B37" s="44" t="s">
        <v>183</v>
      </c>
      <c r="C37" s="45"/>
      <c r="D37" s="46">
        <f>D38</f>
        <v>0</v>
      </c>
      <c r="E37" s="127"/>
      <c r="F37" s="124"/>
    </row>
    <row r="38" spans="1:6" ht="12.75" hidden="1">
      <c r="A38" s="43" t="s">
        <v>181</v>
      </c>
      <c r="B38" s="44"/>
      <c r="C38" s="45">
        <v>400</v>
      </c>
      <c r="D38" s="46">
        <v>0</v>
      </c>
      <c r="E38" s="127"/>
      <c r="F38" s="124"/>
    </row>
    <row r="39" spans="1:6" s="149" customFormat="1" ht="12.75">
      <c r="A39" s="145" t="s">
        <v>184</v>
      </c>
      <c r="B39" s="146" t="s">
        <v>185</v>
      </c>
      <c r="C39" s="147" t="s">
        <v>142</v>
      </c>
      <c r="D39" s="148">
        <f>D40</f>
        <v>23338756.770000003</v>
      </c>
      <c r="E39" s="148">
        <f>E40</f>
        <v>21175964.17</v>
      </c>
      <c r="F39" s="148">
        <f>(E39/D39)*100</f>
        <v>90.73304280380484</v>
      </c>
    </row>
    <row r="40" spans="1:6" ht="12.75">
      <c r="A40" s="35" t="s">
        <v>186</v>
      </c>
      <c r="B40" s="51" t="s">
        <v>187</v>
      </c>
      <c r="C40" s="37" t="s">
        <v>142</v>
      </c>
      <c r="D40" s="38">
        <f>D41+D57</f>
        <v>23338756.770000003</v>
      </c>
      <c r="E40" s="38">
        <f>E41+E57</f>
        <v>21175964.17</v>
      </c>
      <c r="F40" s="38">
        <f>(E40/D40)*100</f>
        <v>90.73304280380484</v>
      </c>
    </row>
    <row r="41" spans="1:162" s="117" customFormat="1" ht="22.5">
      <c r="A41" s="39" t="s">
        <v>188</v>
      </c>
      <c r="B41" s="49" t="s">
        <v>189</v>
      </c>
      <c r="C41" s="41"/>
      <c r="D41" s="42">
        <f>D42+D47+D49+D53+D55+D51</f>
        <v>23284007.820000004</v>
      </c>
      <c r="E41" s="42">
        <f>E42+E47+E49+E53+E55+E51</f>
        <v>21121215.220000003</v>
      </c>
      <c r="F41" s="42">
        <f>(E41/D41)*100</f>
        <v>90.71125290491334</v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</row>
    <row r="42" spans="1:6" ht="12.75">
      <c r="A42" s="43" t="s">
        <v>190</v>
      </c>
      <c r="B42" s="44" t="s">
        <v>191</v>
      </c>
      <c r="C42" s="45" t="s">
        <v>142</v>
      </c>
      <c r="D42" s="46">
        <f>D43+D44+D45+D46</f>
        <v>18494634.229999997</v>
      </c>
      <c r="E42" s="46">
        <f>E43+E44+E45+E46</f>
        <v>16697044.01</v>
      </c>
      <c r="F42" s="46">
        <f>(E42/D42)*100</f>
        <v>90.28047704190797</v>
      </c>
    </row>
    <row r="43" spans="1:6" ht="22.5">
      <c r="A43" s="43" t="s">
        <v>192</v>
      </c>
      <c r="B43" s="44"/>
      <c r="C43" s="45">
        <v>100</v>
      </c>
      <c r="D43" s="46">
        <v>10941759.95</v>
      </c>
      <c r="E43" s="127">
        <v>10889655</v>
      </c>
      <c r="F43" s="46">
        <f aca="true" t="shared" si="3" ref="F43:F112">(E43/D43)*100</f>
        <v>99.52379735766365</v>
      </c>
    </row>
    <row r="44" spans="1:6" ht="12.75">
      <c r="A44" s="43" t="s">
        <v>149</v>
      </c>
      <c r="B44" s="44"/>
      <c r="C44" s="45">
        <v>200</v>
      </c>
      <c r="D44" s="46">
        <v>6719180.04</v>
      </c>
      <c r="E44" s="127">
        <v>4973694.77</v>
      </c>
      <c r="F44" s="46">
        <f t="shared" si="3"/>
        <v>74.02234707793303</v>
      </c>
    </row>
    <row r="45" spans="1:6" ht="12.75">
      <c r="A45" s="43" t="s">
        <v>162</v>
      </c>
      <c r="B45" s="44"/>
      <c r="C45" s="45">
        <v>300</v>
      </c>
      <c r="D45" s="46">
        <v>73780.77</v>
      </c>
      <c r="E45" s="127">
        <v>73780.77</v>
      </c>
      <c r="F45" s="46">
        <f t="shared" si="3"/>
        <v>100</v>
      </c>
    </row>
    <row r="46" spans="1:6" ht="12.75">
      <c r="A46" s="43" t="s">
        <v>194</v>
      </c>
      <c r="B46" s="44"/>
      <c r="C46" s="45">
        <v>800</v>
      </c>
      <c r="D46" s="46">
        <v>759913.47</v>
      </c>
      <c r="E46" s="127">
        <v>759913.47</v>
      </c>
      <c r="F46" s="46">
        <f t="shared" si="3"/>
        <v>100</v>
      </c>
    </row>
    <row r="47" spans="1:6" ht="12.75">
      <c r="A47" s="43" t="s">
        <v>195</v>
      </c>
      <c r="B47" s="44" t="s">
        <v>196</v>
      </c>
      <c r="C47" s="45"/>
      <c r="D47" s="46">
        <f>D48</f>
        <v>848324.01</v>
      </c>
      <c r="E47" s="127">
        <f>E48</f>
        <v>483258.17</v>
      </c>
      <c r="F47" s="46">
        <f t="shared" si="3"/>
        <v>56.966225675965475</v>
      </c>
    </row>
    <row r="48" spans="1:6" ht="12.75">
      <c r="A48" s="43" t="s">
        <v>149</v>
      </c>
      <c r="B48" s="44"/>
      <c r="C48" s="45">
        <v>200</v>
      </c>
      <c r="D48" s="46">
        <v>848324.01</v>
      </c>
      <c r="E48" s="127">
        <v>483258.17</v>
      </c>
      <c r="F48" s="46">
        <f t="shared" si="3"/>
        <v>56.966225675965475</v>
      </c>
    </row>
    <row r="49" spans="1:6" ht="12.75">
      <c r="A49" s="43" t="s">
        <v>379</v>
      </c>
      <c r="B49" s="44" t="s">
        <v>380</v>
      </c>
      <c r="C49" s="45"/>
      <c r="D49" s="46">
        <f>D50</f>
        <v>211547.37</v>
      </c>
      <c r="E49" s="127">
        <v>211547.37</v>
      </c>
      <c r="F49" s="46">
        <f t="shared" si="3"/>
        <v>100</v>
      </c>
    </row>
    <row r="50" spans="1:6" ht="12.75">
      <c r="A50" s="43" t="s">
        <v>193</v>
      </c>
      <c r="B50" s="44"/>
      <c r="C50" s="45">
        <v>500</v>
      </c>
      <c r="D50" s="46">
        <v>211547.37</v>
      </c>
      <c r="E50" s="127">
        <v>211547.37</v>
      </c>
      <c r="F50" s="46">
        <f t="shared" si="3"/>
        <v>100</v>
      </c>
    </row>
    <row r="51" spans="1:6" ht="12.75">
      <c r="A51" s="43" t="s">
        <v>430</v>
      </c>
      <c r="B51" s="44" t="s">
        <v>429</v>
      </c>
      <c r="C51" s="45"/>
      <c r="D51" s="46">
        <f>D52</f>
        <v>69631.94</v>
      </c>
      <c r="E51" s="127">
        <f>E52</f>
        <v>69631.94</v>
      </c>
      <c r="F51" s="46">
        <f t="shared" si="3"/>
        <v>100</v>
      </c>
    </row>
    <row r="52" spans="1:6" ht="12.75">
      <c r="A52" s="43" t="s">
        <v>149</v>
      </c>
      <c r="B52" s="44"/>
      <c r="C52" s="45">
        <v>200</v>
      </c>
      <c r="D52" s="46">
        <v>69631.94</v>
      </c>
      <c r="E52" s="127">
        <v>69631.94</v>
      </c>
      <c r="F52" s="46">
        <f t="shared" si="3"/>
        <v>100</v>
      </c>
    </row>
    <row r="53" spans="1:6" ht="12.75">
      <c r="A53" s="43" t="s">
        <v>391</v>
      </c>
      <c r="B53" s="44" t="s">
        <v>411</v>
      </c>
      <c r="C53" s="45"/>
      <c r="D53" s="46">
        <f>D54</f>
        <v>1499999.42</v>
      </c>
      <c r="E53" s="127">
        <v>1499862.88</v>
      </c>
      <c r="F53" s="46">
        <f t="shared" si="3"/>
        <v>99.99089732981363</v>
      </c>
    </row>
    <row r="54" spans="1:6" ht="12.75">
      <c r="A54" s="43" t="s">
        <v>149</v>
      </c>
      <c r="B54" s="44"/>
      <c r="C54" s="45">
        <v>200</v>
      </c>
      <c r="D54" s="46">
        <v>1499999.42</v>
      </c>
      <c r="E54" s="127">
        <v>1499862.88</v>
      </c>
      <c r="F54" s="46">
        <f t="shared" si="3"/>
        <v>99.99089732981363</v>
      </c>
    </row>
    <row r="55" spans="1:6" ht="12.75">
      <c r="A55" s="43" t="s">
        <v>399</v>
      </c>
      <c r="B55" s="44" t="s">
        <v>412</v>
      </c>
      <c r="C55" s="45"/>
      <c r="D55" s="46">
        <f>D56</f>
        <v>2159870.85</v>
      </c>
      <c r="E55" s="127">
        <f>E56</f>
        <v>2159870.85</v>
      </c>
      <c r="F55" s="46">
        <f t="shared" si="3"/>
        <v>100</v>
      </c>
    </row>
    <row r="56" spans="1:6" ht="22.5">
      <c r="A56" s="43" t="s">
        <v>192</v>
      </c>
      <c r="B56" s="44"/>
      <c r="C56" s="45">
        <v>100</v>
      </c>
      <c r="D56" s="46">
        <v>2159870.85</v>
      </c>
      <c r="E56" s="127">
        <v>2159870.85</v>
      </c>
      <c r="F56" s="46">
        <f t="shared" si="3"/>
        <v>100</v>
      </c>
    </row>
    <row r="57" spans="1:162" s="117" customFormat="1" ht="22.5">
      <c r="A57" s="39" t="s">
        <v>198</v>
      </c>
      <c r="B57" s="49" t="s">
        <v>199</v>
      </c>
      <c r="C57" s="53"/>
      <c r="D57" s="42">
        <f>D58</f>
        <v>54748.95</v>
      </c>
      <c r="E57" s="143">
        <f>E58</f>
        <v>54748.95</v>
      </c>
      <c r="F57" s="143">
        <f t="shared" si="3"/>
        <v>100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</row>
    <row r="58" spans="1:6" ht="12.75">
      <c r="A58" s="43" t="s">
        <v>200</v>
      </c>
      <c r="B58" s="44" t="s">
        <v>201</v>
      </c>
      <c r="C58" s="45"/>
      <c r="D58" s="46">
        <f>D59</f>
        <v>54748.95</v>
      </c>
      <c r="E58" s="46">
        <f>E59</f>
        <v>54748.95</v>
      </c>
      <c r="F58" s="46">
        <f t="shared" si="3"/>
        <v>100</v>
      </c>
    </row>
    <row r="59" spans="1:6" ht="12.75">
      <c r="A59" s="43" t="s">
        <v>149</v>
      </c>
      <c r="B59" s="54"/>
      <c r="C59" s="45">
        <v>200</v>
      </c>
      <c r="D59" s="46">
        <v>54748.95</v>
      </c>
      <c r="E59" s="127">
        <v>54748.95</v>
      </c>
      <c r="F59" s="46">
        <f t="shared" si="3"/>
        <v>100</v>
      </c>
    </row>
    <row r="60" spans="1:162" s="115" customFormat="1" ht="12.75" hidden="1">
      <c r="A60" s="33" t="s">
        <v>381</v>
      </c>
      <c r="B60" s="50" t="s">
        <v>382</v>
      </c>
      <c r="C60" s="34" t="s">
        <v>142</v>
      </c>
      <c r="D60" s="46"/>
      <c r="E60" s="127"/>
      <c r="F60" s="46" t="e">
        <f t="shared" si="3"/>
        <v>#DIV/0!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</row>
    <row r="61" spans="1:6" ht="12.75" hidden="1">
      <c r="A61" s="35" t="s">
        <v>383</v>
      </c>
      <c r="B61" s="51" t="s">
        <v>384</v>
      </c>
      <c r="C61" s="37" t="s">
        <v>142</v>
      </c>
      <c r="D61" s="46"/>
      <c r="E61" s="127"/>
      <c r="F61" s="46" t="e">
        <f t="shared" si="3"/>
        <v>#DIV/0!</v>
      </c>
    </row>
    <row r="62" spans="1:162" s="117" customFormat="1" ht="22.5" hidden="1">
      <c r="A62" s="39" t="s">
        <v>385</v>
      </c>
      <c r="B62" s="49" t="s">
        <v>386</v>
      </c>
      <c r="C62" s="41"/>
      <c r="D62" s="46"/>
      <c r="E62" s="127"/>
      <c r="F62" s="46" t="e">
        <f t="shared" si="3"/>
        <v>#DIV/0!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</row>
    <row r="63" spans="1:6" ht="12.75" hidden="1">
      <c r="A63" s="43" t="s">
        <v>387</v>
      </c>
      <c r="B63" s="44" t="s">
        <v>388</v>
      </c>
      <c r="C63" s="45" t="s">
        <v>142</v>
      </c>
      <c r="D63" s="46"/>
      <c r="E63" s="127"/>
      <c r="F63" s="46" t="e">
        <f t="shared" si="3"/>
        <v>#DIV/0!</v>
      </c>
    </row>
    <row r="64" spans="1:6" ht="12.75" hidden="1">
      <c r="A64" s="43" t="s">
        <v>149</v>
      </c>
      <c r="B64" s="44"/>
      <c r="C64" s="45">
        <v>200</v>
      </c>
      <c r="D64" s="46"/>
      <c r="E64" s="127"/>
      <c r="F64" s="46" t="e">
        <f t="shared" si="3"/>
        <v>#DIV/0!</v>
      </c>
    </row>
    <row r="65" spans="1:6" s="149" customFormat="1" ht="12.75">
      <c r="A65" s="145" t="s">
        <v>202</v>
      </c>
      <c r="B65" s="146" t="s">
        <v>203</v>
      </c>
      <c r="C65" s="147"/>
      <c r="D65" s="148">
        <f>D66</f>
        <v>1601123.95</v>
      </c>
      <c r="E65" s="148">
        <f>E66</f>
        <v>1448433.31</v>
      </c>
      <c r="F65" s="148">
        <f t="shared" si="3"/>
        <v>90.46353406930177</v>
      </c>
    </row>
    <row r="66" spans="1:6" ht="12.75">
      <c r="A66" s="35" t="s">
        <v>204</v>
      </c>
      <c r="B66" s="51" t="s">
        <v>205</v>
      </c>
      <c r="C66" s="37" t="s">
        <v>142</v>
      </c>
      <c r="D66" s="38">
        <f>D67+D70</f>
        <v>1601123.95</v>
      </c>
      <c r="E66" s="38">
        <f>E67+E70</f>
        <v>1448433.31</v>
      </c>
      <c r="F66" s="46">
        <f t="shared" si="3"/>
        <v>90.46353406930177</v>
      </c>
    </row>
    <row r="67" spans="1:162" s="117" customFormat="1" ht="12.75" hidden="1">
      <c r="A67" s="48" t="s">
        <v>206</v>
      </c>
      <c r="B67" s="49" t="s">
        <v>207</v>
      </c>
      <c r="C67" s="41"/>
      <c r="D67" s="42">
        <f>D68</f>
        <v>0</v>
      </c>
      <c r="E67" s="143">
        <f>E68</f>
        <v>0</v>
      </c>
      <c r="F67" s="143" t="e">
        <f t="shared" si="3"/>
        <v>#DIV/0!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</row>
    <row r="68" spans="1:6" ht="12.75" hidden="1">
      <c r="A68" s="43" t="s">
        <v>208</v>
      </c>
      <c r="B68" s="44" t="s">
        <v>209</v>
      </c>
      <c r="C68" s="45" t="s">
        <v>142</v>
      </c>
      <c r="D68" s="46">
        <f>D69</f>
        <v>0</v>
      </c>
      <c r="E68" s="127">
        <v>0</v>
      </c>
      <c r="F68" s="46" t="e">
        <f t="shared" si="3"/>
        <v>#DIV/0!</v>
      </c>
    </row>
    <row r="69" spans="1:6" ht="12.75" hidden="1">
      <c r="A69" s="43" t="s">
        <v>149</v>
      </c>
      <c r="B69" s="44"/>
      <c r="C69" s="45">
        <v>200</v>
      </c>
      <c r="D69" s="46">
        <v>0</v>
      </c>
      <c r="E69" s="127">
        <v>0</v>
      </c>
      <c r="F69" s="46" t="e">
        <f t="shared" si="3"/>
        <v>#DIV/0!</v>
      </c>
    </row>
    <row r="70" spans="1:162" s="117" customFormat="1" ht="12.75">
      <c r="A70" s="39" t="s">
        <v>210</v>
      </c>
      <c r="B70" s="49" t="s">
        <v>211</v>
      </c>
      <c r="C70" s="53"/>
      <c r="D70" s="42">
        <f>D71+D73</f>
        <v>1601123.95</v>
      </c>
      <c r="E70" s="143">
        <f>E71+E73</f>
        <v>1448433.31</v>
      </c>
      <c r="F70" s="143">
        <f t="shared" si="3"/>
        <v>90.46353406930177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</row>
    <row r="71" spans="1:6" ht="12.75">
      <c r="A71" s="43" t="s">
        <v>212</v>
      </c>
      <c r="B71" s="44" t="s">
        <v>213</v>
      </c>
      <c r="C71" s="45"/>
      <c r="D71" s="46">
        <f>D72</f>
        <v>815711.95</v>
      </c>
      <c r="E71" s="127">
        <f>E72</f>
        <v>663021.95</v>
      </c>
      <c r="F71" s="46">
        <f t="shared" si="3"/>
        <v>81.28138247821427</v>
      </c>
    </row>
    <row r="72" spans="1:6" ht="12.75">
      <c r="A72" s="43" t="s">
        <v>149</v>
      </c>
      <c r="B72" s="44"/>
      <c r="C72" s="45">
        <v>200</v>
      </c>
      <c r="D72" s="46">
        <v>815711.95</v>
      </c>
      <c r="E72" s="127">
        <v>663021.95</v>
      </c>
      <c r="F72" s="46">
        <f t="shared" si="3"/>
        <v>81.28138247821427</v>
      </c>
    </row>
    <row r="73" spans="1:6" ht="12.75">
      <c r="A73" s="43" t="s">
        <v>391</v>
      </c>
      <c r="B73" s="44" t="s">
        <v>413</v>
      </c>
      <c r="C73" s="45"/>
      <c r="D73" s="46">
        <f>D74</f>
        <v>785412</v>
      </c>
      <c r="E73" s="127">
        <f>E74</f>
        <v>785411.36</v>
      </c>
      <c r="F73" s="46">
        <f t="shared" si="3"/>
        <v>99.9999185141047</v>
      </c>
    </row>
    <row r="74" spans="1:6" ht="12.75">
      <c r="A74" s="43" t="s">
        <v>149</v>
      </c>
      <c r="B74" s="44"/>
      <c r="C74" s="45">
        <v>200</v>
      </c>
      <c r="D74" s="46">
        <v>785412</v>
      </c>
      <c r="E74" s="127">
        <v>785411.36</v>
      </c>
      <c r="F74" s="46">
        <f t="shared" si="3"/>
        <v>99.9999185141047</v>
      </c>
    </row>
    <row r="75" spans="1:6" s="149" customFormat="1" ht="12.75">
      <c r="A75" s="145" t="s">
        <v>214</v>
      </c>
      <c r="B75" s="146" t="s">
        <v>215</v>
      </c>
      <c r="C75" s="147" t="s">
        <v>142</v>
      </c>
      <c r="D75" s="148">
        <f>D76+D87+D95</f>
        <v>19487309.64</v>
      </c>
      <c r="E75" s="148">
        <f>E76+E87+E95</f>
        <v>19083467.16</v>
      </c>
      <c r="F75" s="144">
        <f t="shared" si="3"/>
        <v>97.92766427249113</v>
      </c>
    </row>
    <row r="76" spans="1:6" ht="12.75">
      <c r="A76" s="35" t="s">
        <v>216</v>
      </c>
      <c r="B76" s="51" t="s">
        <v>217</v>
      </c>
      <c r="C76" s="37" t="s">
        <v>142</v>
      </c>
      <c r="D76" s="38">
        <f>D77+D81+D84</f>
        <v>3047506.78</v>
      </c>
      <c r="E76" s="38">
        <f>E77+E81+E84</f>
        <v>2993513.16</v>
      </c>
      <c r="F76" s="46">
        <f t="shared" si="3"/>
        <v>98.22826907705847</v>
      </c>
    </row>
    <row r="77" spans="1:162" s="117" customFormat="1" ht="12.75">
      <c r="A77" s="39" t="s">
        <v>218</v>
      </c>
      <c r="B77" s="49" t="s">
        <v>219</v>
      </c>
      <c r="C77" s="53"/>
      <c r="D77" s="42">
        <f>D78</f>
        <v>1277758.9</v>
      </c>
      <c r="E77" s="143">
        <f>E78</f>
        <v>1223765.28</v>
      </c>
      <c r="F77" s="143">
        <f t="shared" si="3"/>
        <v>95.77434991843924</v>
      </c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</row>
    <row r="78" spans="1:6" ht="12.75">
      <c r="A78" s="43" t="s">
        <v>220</v>
      </c>
      <c r="B78" s="44" t="s">
        <v>221</v>
      </c>
      <c r="C78" s="45"/>
      <c r="D78" s="46">
        <f>D79+D80</f>
        <v>1277758.9</v>
      </c>
      <c r="E78" s="46">
        <f>E79+E80</f>
        <v>1223765.28</v>
      </c>
      <c r="F78" s="46">
        <f t="shared" si="3"/>
        <v>95.77434991843924</v>
      </c>
    </row>
    <row r="79" spans="1:6" ht="12.75">
      <c r="A79" s="43" t="s">
        <v>149</v>
      </c>
      <c r="B79" s="44"/>
      <c r="C79" s="45">
        <v>200</v>
      </c>
      <c r="D79" s="46">
        <f>842618.6+422790.3</f>
        <v>1265408.9</v>
      </c>
      <c r="E79" s="128">
        <f>788624.98+422790.3</f>
        <v>1211415.28</v>
      </c>
      <c r="F79" s="46">
        <f t="shared" si="3"/>
        <v>95.73310887887703</v>
      </c>
    </row>
    <row r="80" spans="1:6" ht="12.75">
      <c r="A80" s="43" t="s">
        <v>194</v>
      </c>
      <c r="B80" s="44"/>
      <c r="C80" s="45">
        <v>800</v>
      </c>
      <c r="D80" s="46">
        <f>12350</f>
        <v>12350</v>
      </c>
      <c r="E80" s="127">
        <f>12350</f>
        <v>12350</v>
      </c>
      <c r="F80" s="46">
        <f t="shared" si="3"/>
        <v>100</v>
      </c>
    </row>
    <row r="81" spans="1:162" s="117" customFormat="1" ht="12.75">
      <c r="A81" s="39" t="s">
        <v>222</v>
      </c>
      <c r="B81" s="49" t="s">
        <v>223</v>
      </c>
      <c r="C81" s="53"/>
      <c r="D81" s="42">
        <f>D82</f>
        <v>1738765.37</v>
      </c>
      <c r="E81" s="143">
        <f>E82</f>
        <v>1738765.37</v>
      </c>
      <c r="F81" s="143">
        <f t="shared" si="3"/>
        <v>100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</row>
    <row r="82" spans="1:6" ht="12.75">
      <c r="A82" s="43" t="s">
        <v>224</v>
      </c>
      <c r="B82" s="44" t="s">
        <v>225</v>
      </c>
      <c r="C82" s="45"/>
      <c r="D82" s="46">
        <f>D83</f>
        <v>1738765.37</v>
      </c>
      <c r="E82" s="46">
        <f>E83</f>
        <v>1738765.37</v>
      </c>
      <c r="F82" s="46">
        <f t="shared" si="3"/>
        <v>100</v>
      </c>
    </row>
    <row r="83" spans="1:6" ht="12.75">
      <c r="A83" s="43" t="s">
        <v>149</v>
      </c>
      <c r="B83" s="44"/>
      <c r="C83" s="45">
        <v>200</v>
      </c>
      <c r="D83" s="46">
        <v>1738765.37</v>
      </c>
      <c r="E83" s="46">
        <v>1738765.37</v>
      </c>
      <c r="F83" s="46">
        <f t="shared" si="3"/>
        <v>100</v>
      </c>
    </row>
    <row r="84" spans="1:162" s="117" customFormat="1" ht="12.75">
      <c r="A84" s="39" t="s">
        <v>226</v>
      </c>
      <c r="B84" s="49" t="s">
        <v>227</v>
      </c>
      <c r="C84" s="53"/>
      <c r="D84" s="42">
        <f>D85</f>
        <v>30982.51</v>
      </c>
      <c r="E84" s="143">
        <f>E85</f>
        <v>30982.51</v>
      </c>
      <c r="F84" s="143">
        <f t="shared" si="3"/>
        <v>100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</row>
    <row r="85" spans="1:6" ht="12.75">
      <c r="A85" s="43" t="s">
        <v>228</v>
      </c>
      <c r="B85" s="44" t="s">
        <v>229</v>
      </c>
      <c r="C85" s="45"/>
      <c r="D85" s="46">
        <f>D86</f>
        <v>30982.51</v>
      </c>
      <c r="E85" s="46">
        <f>E86</f>
        <v>30982.51</v>
      </c>
      <c r="F85" s="46">
        <f t="shared" si="3"/>
        <v>100</v>
      </c>
    </row>
    <row r="86" spans="1:6" ht="12.75">
      <c r="A86" s="43" t="s">
        <v>194</v>
      </c>
      <c r="B86" s="44"/>
      <c r="C86" s="45">
        <v>800</v>
      </c>
      <c r="D86" s="46">
        <v>30982.51</v>
      </c>
      <c r="E86" s="46">
        <v>30982.51</v>
      </c>
      <c r="F86" s="46">
        <f t="shared" si="3"/>
        <v>100</v>
      </c>
    </row>
    <row r="87" spans="1:6" ht="12.75">
      <c r="A87" s="35" t="s">
        <v>230</v>
      </c>
      <c r="B87" s="51" t="s">
        <v>231</v>
      </c>
      <c r="C87" s="37" t="s">
        <v>142</v>
      </c>
      <c r="D87" s="38">
        <f>D88</f>
        <v>266677.44</v>
      </c>
      <c r="E87" s="157">
        <f>E88</f>
        <v>241760</v>
      </c>
      <c r="F87" s="157">
        <f t="shared" si="3"/>
        <v>90.65633748396564</v>
      </c>
    </row>
    <row r="88" spans="1:162" s="117" customFormat="1" ht="12.75">
      <c r="A88" s="48" t="s">
        <v>232</v>
      </c>
      <c r="B88" s="49" t="s">
        <v>233</v>
      </c>
      <c r="C88" s="41"/>
      <c r="D88" s="42">
        <f>D89+D91+D93</f>
        <v>266677.44</v>
      </c>
      <c r="E88" s="143">
        <f>E89+E91+E93</f>
        <v>241760</v>
      </c>
      <c r="F88" s="143">
        <f t="shared" si="3"/>
        <v>90.65633748396564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</row>
    <row r="89" spans="1:6" ht="12.75">
      <c r="A89" s="43" t="s">
        <v>234</v>
      </c>
      <c r="B89" s="44" t="s">
        <v>235</v>
      </c>
      <c r="C89" s="45" t="s">
        <v>142</v>
      </c>
      <c r="D89" s="46">
        <f>D90</f>
        <v>24917.44</v>
      </c>
      <c r="E89" s="46">
        <f>E90</f>
        <v>0</v>
      </c>
      <c r="F89" s="46">
        <f t="shared" si="3"/>
        <v>0</v>
      </c>
    </row>
    <row r="90" spans="1:6" ht="12.75">
      <c r="A90" s="43" t="s">
        <v>149</v>
      </c>
      <c r="B90" s="44"/>
      <c r="C90" s="45">
        <v>200</v>
      </c>
      <c r="D90" s="46">
        <v>24917.44</v>
      </c>
      <c r="E90" s="127">
        <v>0</v>
      </c>
      <c r="F90" s="46">
        <f t="shared" si="3"/>
        <v>0</v>
      </c>
    </row>
    <row r="91" spans="1:6" ht="12.75">
      <c r="A91" s="43" t="s">
        <v>236</v>
      </c>
      <c r="B91" s="44" t="s">
        <v>237</v>
      </c>
      <c r="C91" s="45"/>
      <c r="D91" s="46">
        <f>D92</f>
        <v>41760</v>
      </c>
      <c r="E91" s="127">
        <v>41760</v>
      </c>
      <c r="F91" s="46">
        <f t="shared" si="3"/>
        <v>100</v>
      </c>
    </row>
    <row r="92" spans="1:6" ht="12.75">
      <c r="A92" s="43" t="s">
        <v>149</v>
      </c>
      <c r="B92" s="44"/>
      <c r="C92" s="45">
        <v>200</v>
      </c>
      <c r="D92" s="46">
        <v>41760</v>
      </c>
      <c r="E92" s="127">
        <v>41760</v>
      </c>
      <c r="F92" s="46">
        <f t="shared" si="3"/>
        <v>100</v>
      </c>
    </row>
    <row r="93" spans="1:6" ht="33.75">
      <c r="A93" s="43" t="s">
        <v>238</v>
      </c>
      <c r="B93" s="44" t="s">
        <v>239</v>
      </c>
      <c r="C93" s="45"/>
      <c r="D93" s="46">
        <f>D94</f>
        <v>200000</v>
      </c>
      <c r="E93" s="127">
        <v>200000</v>
      </c>
      <c r="F93" s="46">
        <f t="shared" si="3"/>
        <v>100</v>
      </c>
    </row>
    <row r="94" spans="1:6" ht="12.75">
      <c r="A94" s="43" t="s">
        <v>149</v>
      </c>
      <c r="B94" s="44"/>
      <c r="C94" s="45">
        <v>200</v>
      </c>
      <c r="D94" s="46">
        <v>200000</v>
      </c>
      <c r="E94" s="127">
        <v>200000</v>
      </c>
      <c r="F94" s="46">
        <f t="shared" si="3"/>
        <v>100</v>
      </c>
    </row>
    <row r="95" spans="1:162" s="116" customFormat="1" ht="12.75">
      <c r="A95" s="55" t="s">
        <v>240</v>
      </c>
      <c r="B95" s="51" t="s">
        <v>241</v>
      </c>
      <c r="C95" s="52"/>
      <c r="D95" s="38">
        <f>D96+D102</f>
        <v>16173125.42</v>
      </c>
      <c r="E95" s="157">
        <f>E96+E102</f>
        <v>15848194</v>
      </c>
      <c r="F95" s="157">
        <f t="shared" si="3"/>
        <v>97.99091757738931</v>
      </c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</row>
    <row r="96" spans="1:162" s="117" customFormat="1" ht="12.75">
      <c r="A96" s="39" t="s">
        <v>242</v>
      </c>
      <c r="B96" s="49" t="s">
        <v>243</v>
      </c>
      <c r="C96" s="53"/>
      <c r="D96" s="42">
        <f>D97+D100</f>
        <v>7046886.15</v>
      </c>
      <c r="E96" s="143">
        <f>E97+E100</f>
        <v>6778686.42</v>
      </c>
      <c r="F96" s="143">
        <f t="shared" si="3"/>
        <v>96.19406750313398</v>
      </c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</row>
    <row r="97" spans="1:6" ht="12.75">
      <c r="A97" s="56" t="s">
        <v>244</v>
      </c>
      <c r="B97" s="44" t="s">
        <v>245</v>
      </c>
      <c r="C97" s="45"/>
      <c r="D97" s="46">
        <f>D98+D99</f>
        <v>4700920.58</v>
      </c>
      <c r="E97" s="46">
        <f>E98+E99</f>
        <v>4665016.05</v>
      </c>
      <c r="F97" s="46">
        <f t="shared" si="3"/>
        <v>99.23622342924159</v>
      </c>
    </row>
    <row r="98" spans="1:6" ht="12.75">
      <c r="A98" s="43" t="s">
        <v>246</v>
      </c>
      <c r="B98" s="44"/>
      <c r="C98" s="45">
        <v>200</v>
      </c>
      <c r="D98" s="46">
        <v>4696937.71</v>
      </c>
      <c r="E98" s="127">
        <v>4661033.18</v>
      </c>
      <c r="F98" s="46">
        <f t="shared" si="3"/>
        <v>99.23557576836589</v>
      </c>
    </row>
    <row r="99" spans="1:6" ht="12.75">
      <c r="A99" s="43" t="s">
        <v>194</v>
      </c>
      <c r="B99" s="44"/>
      <c r="C99" s="45">
        <v>800</v>
      </c>
      <c r="D99" s="46">
        <v>3982.87</v>
      </c>
      <c r="E99" s="127">
        <v>3982.87</v>
      </c>
      <c r="F99" s="46">
        <f t="shared" si="3"/>
        <v>100</v>
      </c>
    </row>
    <row r="100" spans="1:6" ht="12.75">
      <c r="A100" s="43" t="s">
        <v>247</v>
      </c>
      <c r="B100" s="44" t="s">
        <v>248</v>
      </c>
      <c r="C100" s="45"/>
      <c r="D100" s="46">
        <f>D101</f>
        <v>2345965.57</v>
      </c>
      <c r="E100" s="46">
        <f>E101</f>
        <v>2113670.37</v>
      </c>
      <c r="F100" s="46">
        <f t="shared" si="3"/>
        <v>90.09809849852145</v>
      </c>
    </row>
    <row r="101" spans="1:6" ht="12.75">
      <c r="A101" s="43" t="s">
        <v>246</v>
      </c>
      <c r="B101" s="44"/>
      <c r="C101" s="45">
        <v>200</v>
      </c>
      <c r="D101" s="46">
        <v>2345965.57</v>
      </c>
      <c r="E101" s="127">
        <v>2113670.37</v>
      </c>
      <c r="F101" s="46">
        <f t="shared" si="3"/>
        <v>90.09809849852145</v>
      </c>
    </row>
    <row r="102" spans="1:162" s="117" customFormat="1" ht="12.75">
      <c r="A102" s="39" t="s">
        <v>249</v>
      </c>
      <c r="B102" s="49" t="s">
        <v>250</v>
      </c>
      <c r="C102" s="53"/>
      <c r="D102" s="42">
        <f>D103+D107+D110</f>
        <v>9126239.27</v>
      </c>
      <c r="E102" s="143">
        <f>E103+E107+E110</f>
        <v>9069507.58</v>
      </c>
      <c r="F102" s="143">
        <f t="shared" si="3"/>
        <v>99.37836727351113</v>
      </c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</row>
    <row r="103" spans="1:6" ht="12.75">
      <c r="A103" s="43" t="s">
        <v>251</v>
      </c>
      <c r="B103" s="44" t="s">
        <v>252</v>
      </c>
      <c r="C103" s="45"/>
      <c r="D103" s="46">
        <f>D104+D105+D106</f>
        <v>7981966.55</v>
      </c>
      <c r="E103" s="46">
        <f>E104+E105+E106</f>
        <v>7925234.86</v>
      </c>
      <c r="F103" s="46">
        <f t="shared" si="3"/>
        <v>99.28925171955275</v>
      </c>
    </row>
    <row r="104" spans="1:6" ht="22.5">
      <c r="A104" s="43" t="s">
        <v>192</v>
      </c>
      <c r="B104" s="44"/>
      <c r="C104" s="45">
        <v>100</v>
      </c>
      <c r="D104" s="46">
        <v>5934590.42</v>
      </c>
      <c r="E104" s="127">
        <v>5934590.42</v>
      </c>
      <c r="F104" s="46">
        <f t="shared" si="3"/>
        <v>100</v>
      </c>
    </row>
    <row r="105" spans="1:6" ht="12.75">
      <c r="A105" s="43" t="s">
        <v>246</v>
      </c>
      <c r="B105" s="44"/>
      <c r="C105" s="45">
        <v>200</v>
      </c>
      <c r="D105" s="46">
        <v>2009405.97</v>
      </c>
      <c r="E105" s="127">
        <v>1952674.28</v>
      </c>
      <c r="F105" s="46">
        <f t="shared" si="3"/>
        <v>97.17669346826914</v>
      </c>
    </row>
    <row r="106" spans="1:6" ht="12.75">
      <c r="A106" s="43" t="s">
        <v>194</v>
      </c>
      <c r="B106" s="44"/>
      <c r="C106" s="45">
        <v>800</v>
      </c>
      <c r="D106" s="46">
        <v>37970.16</v>
      </c>
      <c r="E106" s="127">
        <v>37970.16</v>
      </c>
      <c r="F106" s="46">
        <f t="shared" si="3"/>
        <v>100</v>
      </c>
    </row>
    <row r="107" spans="1:6" ht="12.75">
      <c r="A107" s="43" t="s">
        <v>253</v>
      </c>
      <c r="B107" s="44" t="s">
        <v>254</v>
      </c>
      <c r="C107" s="45"/>
      <c r="D107" s="46">
        <f>D108+D109</f>
        <v>1129738.49</v>
      </c>
      <c r="E107" s="46">
        <f>E108+E109</f>
        <v>1129738.49</v>
      </c>
      <c r="F107" s="46">
        <f t="shared" si="3"/>
        <v>100</v>
      </c>
    </row>
    <row r="108" spans="1:6" ht="12.75">
      <c r="A108" s="43" t="s">
        <v>246</v>
      </c>
      <c r="B108" s="44"/>
      <c r="C108" s="45">
        <v>200</v>
      </c>
      <c r="D108" s="46">
        <v>1113113.9</v>
      </c>
      <c r="E108" s="127">
        <v>1113113.9</v>
      </c>
      <c r="F108" s="46">
        <f t="shared" si="3"/>
        <v>100</v>
      </c>
    </row>
    <row r="109" spans="1:6" ht="12.75">
      <c r="A109" s="43" t="s">
        <v>194</v>
      </c>
      <c r="B109" s="44"/>
      <c r="C109" s="45">
        <v>800</v>
      </c>
      <c r="D109" s="46">
        <v>16624.59</v>
      </c>
      <c r="E109" s="127">
        <v>16624.59</v>
      </c>
      <c r="F109" s="46">
        <f t="shared" si="3"/>
        <v>100</v>
      </c>
    </row>
    <row r="110" spans="1:6" ht="12.75">
      <c r="A110" s="43" t="s">
        <v>424</v>
      </c>
      <c r="B110" s="44" t="s">
        <v>423</v>
      </c>
      <c r="C110" s="45"/>
      <c r="D110" s="46">
        <f>D111</f>
        <v>14534.23</v>
      </c>
      <c r="E110" s="127">
        <f>E111</f>
        <v>14534.23</v>
      </c>
      <c r="F110" s="46">
        <f t="shared" si="3"/>
        <v>100</v>
      </c>
    </row>
    <row r="111" spans="1:6" ht="22.5">
      <c r="A111" s="43" t="s">
        <v>192</v>
      </c>
      <c r="B111" s="44"/>
      <c r="C111" s="45">
        <v>100</v>
      </c>
      <c r="D111" s="46">
        <v>14534.23</v>
      </c>
      <c r="E111" s="127">
        <v>14534.23</v>
      </c>
      <c r="F111" s="46">
        <f t="shared" si="3"/>
        <v>100</v>
      </c>
    </row>
    <row r="112" spans="1:6" s="150" customFormat="1" ht="12.75">
      <c r="A112" s="145" t="s">
        <v>255</v>
      </c>
      <c r="B112" s="146" t="s">
        <v>256</v>
      </c>
      <c r="C112" s="147"/>
      <c r="D112" s="148">
        <f>D113</f>
        <v>501919.33999999997</v>
      </c>
      <c r="E112" s="148">
        <f>E113</f>
        <v>439120.25</v>
      </c>
      <c r="F112" s="144">
        <f t="shared" si="3"/>
        <v>87.48821075513847</v>
      </c>
    </row>
    <row r="113" spans="1:6" ht="12.75">
      <c r="A113" s="55" t="s">
        <v>257</v>
      </c>
      <c r="B113" s="51" t="s">
        <v>258</v>
      </c>
      <c r="C113" s="52"/>
      <c r="D113" s="38">
        <f>D114+D117+D120+D123</f>
        <v>501919.33999999997</v>
      </c>
      <c r="E113" s="38">
        <f>E114+E117+E120+E123</f>
        <v>439120.25</v>
      </c>
      <c r="F113" s="46">
        <f aca="true" t="shared" si="4" ref="F113:F174">(E113/D113)*100</f>
        <v>87.48821075513847</v>
      </c>
    </row>
    <row r="114" spans="1:162" s="117" customFormat="1" ht="12.75">
      <c r="A114" s="39" t="s">
        <v>259</v>
      </c>
      <c r="B114" s="49" t="s">
        <v>260</v>
      </c>
      <c r="C114" s="53"/>
      <c r="D114" s="42">
        <f>D115</f>
        <v>199930.01</v>
      </c>
      <c r="E114" s="143">
        <f>E115</f>
        <v>145463.92</v>
      </c>
      <c r="F114" s="143">
        <f t="shared" si="4"/>
        <v>72.7574214596398</v>
      </c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</row>
    <row r="115" spans="1:6" ht="12.75">
      <c r="A115" s="43" t="s">
        <v>259</v>
      </c>
      <c r="B115" s="44" t="s">
        <v>261</v>
      </c>
      <c r="C115" s="45"/>
      <c r="D115" s="46">
        <f>D116</f>
        <v>199930.01</v>
      </c>
      <c r="E115" s="46">
        <f>E116</f>
        <v>145463.92</v>
      </c>
      <c r="F115" s="46">
        <f t="shared" si="4"/>
        <v>72.7574214596398</v>
      </c>
    </row>
    <row r="116" spans="1:6" ht="12.75">
      <c r="A116" s="43" t="s">
        <v>246</v>
      </c>
      <c r="B116" s="44"/>
      <c r="C116" s="45">
        <v>200</v>
      </c>
      <c r="D116" s="46">
        <v>199930.01</v>
      </c>
      <c r="E116" s="127">
        <v>145463.92</v>
      </c>
      <c r="F116" s="46">
        <f t="shared" si="4"/>
        <v>72.7574214596398</v>
      </c>
    </row>
    <row r="117" spans="1:162" s="117" customFormat="1" ht="22.5">
      <c r="A117" s="39" t="s">
        <v>262</v>
      </c>
      <c r="B117" s="49" t="s">
        <v>263</v>
      </c>
      <c r="C117" s="53"/>
      <c r="D117" s="42">
        <f>D118</f>
        <v>185870.08</v>
      </c>
      <c r="E117" s="143">
        <f>E118</f>
        <v>177537.08</v>
      </c>
      <c r="F117" s="143">
        <f t="shared" si="4"/>
        <v>95.5167609547486</v>
      </c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</row>
    <row r="118" spans="1:6" ht="22.5">
      <c r="A118" s="43" t="s">
        <v>264</v>
      </c>
      <c r="B118" s="44" t="s">
        <v>265</v>
      </c>
      <c r="C118" s="45"/>
      <c r="D118" s="46">
        <f>D119</f>
        <v>185870.08</v>
      </c>
      <c r="E118" s="46">
        <f>E119</f>
        <v>177537.08</v>
      </c>
      <c r="F118" s="46">
        <f t="shared" si="4"/>
        <v>95.5167609547486</v>
      </c>
    </row>
    <row r="119" spans="1:6" ht="12.75">
      <c r="A119" s="43" t="s">
        <v>246</v>
      </c>
      <c r="B119" s="44"/>
      <c r="C119" s="45">
        <v>200</v>
      </c>
      <c r="D119" s="46">
        <v>185870.08</v>
      </c>
      <c r="E119" s="127">
        <v>177537.08</v>
      </c>
      <c r="F119" s="46">
        <f t="shared" si="4"/>
        <v>95.5167609547486</v>
      </c>
    </row>
    <row r="120" spans="1:162" s="117" customFormat="1" ht="12.75">
      <c r="A120" s="39" t="s">
        <v>266</v>
      </c>
      <c r="B120" s="49" t="s">
        <v>267</v>
      </c>
      <c r="C120" s="53"/>
      <c r="D120" s="42">
        <f>D121</f>
        <v>23465</v>
      </c>
      <c r="E120" s="143">
        <f>E121</f>
        <v>23465</v>
      </c>
      <c r="F120" s="143">
        <f t="shared" si="4"/>
        <v>100</v>
      </c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</row>
    <row r="121" spans="1:6" ht="12.75">
      <c r="A121" s="43" t="s">
        <v>268</v>
      </c>
      <c r="B121" s="44" t="s">
        <v>269</v>
      </c>
      <c r="C121" s="45"/>
      <c r="D121" s="46">
        <f>D122</f>
        <v>23465</v>
      </c>
      <c r="E121" s="46">
        <f>E122</f>
        <v>23465</v>
      </c>
      <c r="F121" s="46">
        <f t="shared" si="4"/>
        <v>100</v>
      </c>
    </row>
    <row r="122" spans="1:6" ht="12.75">
      <c r="A122" s="43" t="s">
        <v>246</v>
      </c>
      <c r="B122" s="44"/>
      <c r="C122" s="45">
        <v>200</v>
      </c>
      <c r="D122" s="46">
        <v>23465</v>
      </c>
      <c r="E122" s="127">
        <v>23465</v>
      </c>
      <c r="F122" s="46">
        <f t="shared" si="4"/>
        <v>100</v>
      </c>
    </row>
    <row r="123" spans="1:6" ht="12.75">
      <c r="A123" s="57" t="s">
        <v>270</v>
      </c>
      <c r="B123" s="58" t="s">
        <v>271</v>
      </c>
      <c r="C123" s="59"/>
      <c r="D123" s="60">
        <f>D124</f>
        <v>92654.25</v>
      </c>
      <c r="E123" s="60">
        <f>E124</f>
        <v>92654.25</v>
      </c>
      <c r="F123" s="143">
        <f t="shared" si="4"/>
        <v>100</v>
      </c>
    </row>
    <row r="124" spans="1:6" ht="12.75">
      <c r="A124" s="43" t="s">
        <v>272</v>
      </c>
      <c r="B124" s="44" t="s">
        <v>273</v>
      </c>
      <c r="C124" s="120"/>
      <c r="D124" s="46">
        <f>D125</f>
        <v>92654.25</v>
      </c>
      <c r="E124" s="46">
        <f>E125</f>
        <v>92654.25</v>
      </c>
      <c r="F124" s="46">
        <f t="shared" si="4"/>
        <v>100</v>
      </c>
    </row>
    <row r="125" spans="1:6" ht="12.75">
      <c r="A125" s="43" t="s">
        <v>246</v>
      </c>
      <c r="B125" s="44"/>
      <c r="C125" s="45">
        <v>200</v>
      </c>
      <c r="D125" s="46">
        <v>92654.25</v>
      </c>
      <c r="E125" s="127">
        <v>92654.25</v>
      </c>
      <c r="F125" s="46">
        <f t="shared" si="4"/>
        <v>100</v>
      </c>
    </row>
    <row r="126" spans="1:6" s="149" customFormat="1" ht="12.75">
      <c r="A126" s="145" t="s">
        <v>274</v>
      </c>
      <c r="B126" s="146" t="s">
        <v>275</v>
      </c>
      <c r="C126" s="147" t="s">
        <v>142</v>
      </c>
      <c r="D126" s="148">
        <f>D127</f>
        <v>7158563.37</v>
      </c>
      <c r="E126" s="148">
        <f>E127</f>
        <v>5295316.19</v>
      </c>
      <c r="F126" s="144">
        <f t="shared" si="4"/>
        <v>73.97177221607805</v>
      </c>
    </row>
    <row r="127" spans="1:6" ht="12.75">
      <c r="A127" s="35" t="s">
        <v>276</v>
      </c>
      <c r="B127" s="51" t="s">
        <v>277</v>
      </c>
      <c r="C127" s="37" t="s">
        <v>142</v>
      </c>
      <c r="D127" s="38">
        <f>D128+D135</f>
        <v>7158563.37</v>
      </c>
      <c r="E127" s="38">
        <f>E128+E135</f>
        <v>5295316.19</v>
      </c>
      <c r="F127" s="46">
        <f t="shared" si="4"/>
        <v>73.97177221607805</v>
      </c>
    </row>
    <row r="128" spans="1:162" s="117" customFormat="1" ht="12.75">
      <c r="A128" s="39" t="s">
        <v>278</v>
      </c>
      <c r="B128" s="49" t="s">
        <v>279</v>
      </c>
      <c r="C128" s="53"/>
      <c r="D128" s="42">
        <f>D129+D133+D131</f>
        <v>7158563.37</v>
      </c>
      <c r="E128" s="42">
        <f>E129+E133+E131</f>
        <v>5295316.19</v>
      </c>
      <c r="F128" s="143">
        <f t="shared" si="4"/>
        <v>73.97177221607805</v>
      </c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</row>
    <row r="129" spans="1:6" ht="12.75">
      <c r="A129" s="43" t="s">
        <v>280</v>
      </c>
      <c r="B129" s="44" t="s">
        <v>281</v>
      </c>
      <c r="C129" s="45" t="s">
        <v>142</v>
      </c>
      <c r="D129" s="46">
        <f>D130</f>
        <v>5911980.07</v>
      </c>
      <c r="E129" s="46">
        <f>E130</f>
        <v>4090973.77</v>
      </c>
      <c r="F129" s="46">
        <f t="shared" si="4"/>
        <v>69.19803046629688</v>
      </c>
    </row>
    <row r="130" spans="1:6" ht="12.75">
      <c r="A130" s="43" t="s">
        <v>246</v>
      </c>
      <c r="B130" s="44"/>
      <c r="C130" s="45">
        <v>200</v>
      </c>
      <c r="D130" s="46">
        <v>5911980.07</v>
      </c>
      <c r="E130" s="127">
        <v>4090973.77</v>
      </c>
      <c r="F130" s="46">
        <f t="shared" si="4"/>
        <v>69.19803046629688</v>
      </c>
    </row>
    <row r="131" spans="1:6" ht="22.5">
      <c r="A131" s="43" t="s">
        <v>431</v>
      </c>
      <c r="B131" s="44" t="s">
        <v>432</v>
      </c>
      <c r="C131" s="45"/>
      <c r="D131" s="46">
        <f>D132</f>
        <v>200000</v>
      </c>
      <c r="E131" s="127">
        <v>197000</v>
      </c>
      <c r="F131" s="46">
        <f t="shared" si="4"/>
        <v>98.5</v>
      </c>
    </row>
    <row r="132" spans="1:6" ht="12.75">
      <c r="A132" s="43" t="s">
        <v>246</v>
      </c>
      <c r="B132" s="44"/>
      <c r="C132" s="45">
        <v>200</v>
      </c>
      <c r="D132" s="46">
        <v>200000</v>
      </c>
      <c r="E132" s="127">
        <v>197000</v>
      </c>
      <c r="F132" s="46">
        <f t="shared" si="4"/>
        <v>98.5</v>
      </c>
    </row>
    <row r="133" spans="1:6" ht="12.75">
      <c r="A133" s="43" t="s">
        <v>282</v>
      </c>
      <c r="B133" s="44" t="s">
        <v>283</v>
      </c>
      <c r="C133" s="45"/>
      <c r="D133" s="46">
        <f>D134</f>
        <v>1046583.3</v>
      </c>
      <c r="E133" s="46">
        <f>E134</f>
        <v>1007342.42</v>
      </c>
      <c r="F133" s="46">
        <f t="shared" si="4"/>
        <v>96.25057269688901</v>
      </c>
    </row>
    <row r="134" spans="1:6" ht="12.75">
      <c r="A134" s="43" t="s">
        <v>246</v>
      </c>
      <c r="B134" s="44"/>
      <c r="C134" s="45">
        <v>200</v>
      </c>
      <c r="D134" s="46">
        <v>1046583.3</v>
      </c>
      <c r="E134" s="127">
        <v>1007342.42</v>
      </c>
      <c r="F134" s="46">
        <f t="shared" si="4"/>
        <v>96.25057269688901</v>
      </c>
    </row>
    <row r="135" spans="1:162" s="117" customFormat="1" ht="12.75">
      <c r="A135" s="39" t="s">
        <v>284</v>
      </c>
      <c r="B135" s="49" t="s">
        <v>285</v>
      </c>
      <c r="C135" s="53"/>
      <c r="D135" s="42">
        <f>D136</f>
        <v>0</v>
      </c>
      <c r="E135" s="42">
        <f>E136</f>
        <v>0</v>
      </c>
      <c r="F135" s="143">
        <v>0</v>
      </c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</row>
    <row r="136" spans="1:6" ht="12.75">
      <c r="A136" s="43" t="s">
        <v>286</v>
      </c>
      <c r="B136" s="44" t="s">
        <v>287</v>
      </c>
      <c r="C136" s="45"/>
      <c r="D136" s="46">
        <f>D137</f>
        <v>0</v>
      </c>
      <c r="E136" s="46">
        <f>E137</f>
        <v>0</v>
      </c>
      <c r="F136" s="46">
        <v>0</v>
      </c>
    </row>
    <row r="137" spans="1:6" ht="12.75">
      <c r="A137" s="43" t="s">
        <v>246</v>
      </c>
      <c r="B137" s="44"/>
      <c r="C137" s="45">
        <v>200</v>
      </c>
      <c r="D137" s="46">
        <v>0</v>
      </c>
      <c r="E137" s="127">
        <v>0</v>
      </c>
      <c r="F137" s="46">
        <v>0</v>
      </c>
    </row>
    <row r="138" spans="1:6" s="150" customFormat="1" ht="12.75">
      <c r="A138" s="145" t="s">
        <v>419</v>
      </c>
      <c r="B138" s="146" t="s">
        <v>416</v>
      </c>
      <c r="C138" s="147"/>
      <c r="D138" s="148">
        <f>D139</f>
        <v>4159081.99</v>
      </c>
      <c r="E138" s="153">
        <f>E139</f>
        <v>3531892.49</v>
      </c>
      <c r="F138" s="148">
        <f>(E138/D138)*100</f>
        <v>84.92000154101315</v>
      </c>
    </row>
    <row r="139" spans="1:6" s="159" customFormat="1" ht="12.75">
      <c r="A139" s="154" t="s">
        <v>420</v>
      </c>
      <c r="B139" s="155" t="s">
        <v>417</v>
      </c>
      <c r="C139" s="156"/>
      <c r="D139" s="157">
        <f>D140</f>
        <v>4159081.99</v>
      </c>
      <c r="E139" s="158">
        <f>E140</f>
        <v>3531892.49</v>
      </c>
      <c r="F139" s="157">
        <f>(E139/D139)*100</f>
        <v>84.92000154101315</v>
      </c>
    </row>
    <row r="140" spans="1:6" s="164" customFormat="1" ht="12.75">
      <c r="A140" s="160" t="s">
        <v>421</v>
      </c>
      <c r="B140" s="161" t="s">
        <v>418</v>
      </c>
      <c r="C140" s="162"/>
      <c r="D140" s="143">
        <f>D141+D143</f>
        <v>4159081.99</v>
      </c>
      <c r="E140" s="163">
        <f>E141+E143</f>
        <v>3531892.49</v>
      </c>
      <c r="F140" s="143">
        <f>(E140/D140)*100</f>
        <v>84.92000154101315</v>
      </c>
    </row>
    <row r="141" spans="1:6" ht="12.75">
      <c r="A141" s="43" t="s">
        <v>415</v>
      </c>
      <c r="B141" s="44" t="s">
        <v>414</v>
      </c>
      <c r="C141" s="45"/>
      <c r="D141" s="46">
        <f>D142</f>
        <v>3651202.81</v>
      </c>
      <c r="E141" s="127">
        <f>E142</f>
        <v>3024013.31</v>
      </c>
      <c r="F141" s="46">
        <f>(E141/D141)*100</f>
        <v>82.8223866863205</v>
      </c>
    </row>
    <row r="142" spans="1:6" ht="12.75">
      <c r="A142" s="43" t="s">
        <v>246</v>
      </c>
      <c r="B142" s="44"/>
      <c r="C142" s="45">
        <v>200</v>
      </c>
      <c r="D142" s="46">
        <f>1596272.62+1953685+101245.19</f>
        <v>3651202.81</v>
      </c>
      <c r="E142" s="127">
        <f>999121.33+1923646.94+101245.04</f>
        <v>3024013.31</v>
      </c>
      <c r="F142" s="46">
        <f>(E142/D142)*100</f>
        <v>82.8223866863205</v>
      </c>
    </row>
    <row r="143" spans="1:6" ht="12.75">
      <c r="A143" s="43" t="s">
        <v>442</v>
      </c>
      <c r="B143" s="44"/>
      <c r="C143" s="45"/>
      <c r="D143" s="46">
        <f>D144</f>
        <v>507879.18</v>
      </c>
      <c r="E143" s="127">
        <f>E144</f>
        <v>507879.18</v>
      </c>
      <c r="F143" s="46">
        <f>F144</f>
        <v>100</v>
      </c>
    </row>
    <row r="144" spans="1:6" ht="12.75">
      <c r="A144" s="43" t="s">
        <v>246</v>
      </c>
      <c r="B144" s="44" t="s">
        <v>436</v>
      </c>
      <c r="C144" s="45">
        <v>200</v>
      </c>
      <c r="D144" s="46">
        <f>439313.47+68565.71</f>
        <v>507879.18</v>
      </c>
      <c r="E144" s="127">
        <f>439313.47+68565.71</f>
        <v>507879.18</v>
      </c>
      <c r="F144" s="46">
        <v>100</v>
      </c>
    </row>
    <row r="145" spans="1:6" s="149" customFormat="1" ht="12.75">
      <c r="A145" s="145" t="s">
        <v>288</v>
      </c>
      <c r="B145" s="146" t="s">
        <v>289</v>
      </c>
      <c r="C145" s="147" t="s">
        <v>142</v>
      </c>
      <c r="D145" s="148">
        <f>D146+D148+D152+D154+D156+D158+D160+D163+D165+D167+D171</f>
        <v>9588756.47</v>
      </c>
      <c r="E145" s="148">
        <f>E146+E148+E152+E154+E156+E158+E160+E163+E165+E167+E171</f>
        <v>9433756.47</v>
      </c>
      <c r="F145" s="148">
        <f t="shared" si="4"/>
        <v>98.38352344764472</v>
      </c>
    </row>
    <row r="146" spans="1:6" ht="12.75">
      <c r="A146" s="43" t="s">
        <v>290</v>
      </c>
      <c r="B146" s="44" t="s">
        <v>291</v>
      </c>
      <c r="C146" s="45" t="s">
        <v>142</v>
      </c>
      <c r="D146" s="46">
        <f>D147</f>
        <v>699928.91</v>
      </c>
      <c r="E146" s="46">
        <f>E147</f>
        <v>699928.91</v>
      </c>
      <c r="F146" s="46">
        <f t="shared" si="4"/>
        <v>100</v>
      </c>
    </row>
    <row r="147" spans="1:6" ht="22.5">
      <c r="A147" s="43" t="s">
        <v>192</v>
      </c>
      <c r="B147" s="44"/>
      <c r="C147" s="45">
        <v>100</v>
      </c>
      <c r="D147" s="46">
        <v>699928.91</v>
      </c>
      <c r="E147" s="127">
        <v>699928.91</v>
      </c>
      <c r="F147" s="46">
        <f t="shared" si="4"/>
        <v>100</v>
      </c>
    </row>
    <row r="148" spans="1:6" ht="12.75">
      <c r="A148" s="43" t="s">
        <v>292</v>
      </c>
      <c r="B148" s="44" t="s">
        <v>293</v>
      </c>
      <c r="C148" s="45" t="s">
        <v>142</v>
      </c>
      <c r="D148" s="46">
        <f>D149+D150+D151</f>
        <v>7057354.62</v>
      </c>
      <c r="E148" s="46">
        <f>E149+E150+E151</f>
        <v>7057354.62</v>
      </c>
      <c r="F148" s="46">
        <f t="shared" si="4"/>
        <v>100</v>
      </c>
    </row>
    <row r="149" spans="1:6" ht="22.5">
      <c r="A149" s="43" t="s">
        <v>192</v>
      </c>
      <c r="B149" s="44"/>
      <c r="C149" s="45">
        <v>100</v>
      </c>
      <c r="D149" s="46">
        <v>5663746.96</v>
      </c>
      <c r="E149" s="127">
        <v>5663746.96</v>
      </c>
      <c r="F149" s="46">
        <f t="shared" si="4"/>
        <v>100</v>
      </c>
    </row>
    <row r="150" spans="1:6" ht="12.75">
      <c r="A150" s="43" t="s">
        <v>246</v>
      </c>
      <c r="B150" s="44"/>
      <c r="C150" s="45">
        <v>200</v>
      </c>
      <c r="D150" s="46">
        <v>753462.53</v>
      </c>
      <c r="E150" s="127">
        <v>753462.53</v>
      </c>
      <c r="F150" s="46">
        <f t="shared" si="4"/>
        <v>100</v>
      </c>
    </row>
    <row r="151" spans="1:6" ht="12.75">
      <c r="A151" s="43" t="s">
        <v>194</v>
      </c>
      <c r="B151" s="44"/>
      <c r="C151" s="45">
        <v>800</v>
      </c>
      <c r="D151" s="46">
        <v>640145.13</v>
      </c>
      <c r="E151" s="127">
        <v>640145.13</v>
      </c>
      <c r="F151" s="46">
        <f t="shared" si="4"/>
        <v>100</v>
      </c>
    </row>
    <row r="152" spans="1:6" ht="12.75">
      <c r="A152" s="43" t="s">
        <v>294</v>
      </c>
      <c r="B152" s="44" t="s">
        <v>295</v>
      </c>
      <c r="C152" s="45" t="s">
        <v>142</v>
      </c>
      <c r="D152" s="46">
        <f>D153</f>
        <v>0</v>
      </c>
      <c r="E152" s="46">
        <f>E153</f>
        <v>0</v>
      </c>
      <c r="F152" s="46">
        <v>0</v>
      </c>
    </row>
    <row r="153" spans="1:6" ht="12.75">
      <c r="A153" s="43" t="s">
        <v>246</v>
      </c>
      <c r="B153" s="44"/>
      <c r="C153" s="45">
        <v>200</v>
      </c>
      <c r="D153" s="46">
        <v>0</v>
      </c>
      <c r="E153" s="127">
        <v>0</v>
      </c>
      <c r="F153" s="46">
        <v>0</v>
      </c>
    </row>
    <row r="154" spans="1:6" ht="12.75">
      <c r="A154" s="43" t="s">
        <v>296</v>
      </c>
      <c r="B154" s="44" t="s">
        <v>297</v>
      </c>
      <c r="C154" s="45" t="s">
        <v>142</v>
      </c>
      <c r="D154" s="46">
        <f>D155</f>
        <v>24136.3</v>
      </c>
      <c r="E154" s="46">
        <f>E155</f>
        <v>24136.3</v>
      </c>
      <c r="F154" s="46">
        <f t="shared" si="4"/>
        <v>100</v>
      </c>
    </row>
    <row r="155" spans="1:6" ht="12.75">
      <c r="A155" s="43" t="s">
        <v>193</v>
      </c>
      <c r="B155" s="44"/>
      <c r="C155" s="45">
        <v>500</v>
      </c>
      <c r="D155" s="46">
        <v>24136.3</v>
      </c>
      <c r="E155" s="127">
        <v>24136.3</v>
      </c>
      <c r="F155" s="46">
        <f t="shared" si="4"/>
        <v>100</v>
      </c>
    </row>
    <row r="156" spans="1:6" ht="12.75">
      <c r="A156" s="43" t="s">
        <v>298</v>
      </c>
      <c r="B156" s="44" t="s">
        <v>299</v>
      </c>
      <c r="C156" s="45" t="s">
        <v>142</v>
      </c>
      <c r="D156" s="46">
        <f>D157</f>
        <v>155000</v>
      </c>
      <c r="E156" s="46">
        <f>E157</f>
        <v>0</v>
      </c>
      <c r="F156" s="46">
        <f t="shared" si="4"/>
        <v>0</v>
      </c>
    </row>
    <row r="157" spans="1:6" ht="12.75">
      <c r="A157" s="43" t="s">
        <v>194</v>
      </c>
      <c r="B157" s="44"/>
      <c r="C157" s="45">
        <v>800</v>
      </c>
      <c r="D157" s="46">
        <v>155000</v>
      </c>
      <c r="E157" s="127">
        <v>0</v>
      </c>
      <c r="F157" s="46">
        <f t="shared" si="4"/>
        <v>0</v>
      </c>
    </row>
    <row r="158" spans="1:6" ht="12.75">
      <c r="A158" s="43" t="s">
        <v>300</v>
      </c>
      <c r="B158" s="44" t="s">
        <v>301</v>
      </c>
      <c r="C158" s="45" t="s">
        <v>142</v>
      </c>
      <c r="D158" s="46">
        <f>D159</f>
        <v>0</v>
      </c>
      <c r="E158" s="46">
        <f>E159</f>
        <v>0</v>
      </c>
      <c r="F158" s="46">
        <v>0</v>
      </c>
    </row>
    <row r="159" spans="1:6" ht="12.75">
      <c r="A159" s="43" t="s">
        <v>246</v>
      </c>
      <c r="B159" s="44"/>
      <c r="C159" s="45">
        <v>200</v>
      </c>
      <c r="D159" s="46">
        <v>0</v>
      </c>
      <c r="E159" s="127">
        <v>0</v>
      </c>
      <c r="F159" s="46">
        <v>0</v>
      </c>
    </row>
    <row r="160" spans="1:6" ht="12.75">
      <c r="A160" s="43" t="s">
        <v>302</v>
      </c>
      <c r="B160" s="44" t="s">
        <v>303</v>
      </c>
      <c r="C160" s="45"/>
      <c r="D160" s="46">
        <f>D161+D162</f>
        <v>99550</v>
      </c>
      <c r="E160" s="46">
        <f>E161+E162</f>
        <v>99550</v>
      </c>
      <c r="F160" s="46">
        <f t="shared" si="4"/>
        <v>100</v>
      </c>
    </row>
    <row r="161" spans="1:6" ht="22.5">
      <c r="A161" s="43" t="s">
        <v>192</v>
      </c>
      <c r="B161" s="44"/>
      <c r="C161" s="45">
        <v>100</v>
      </c>
      <c r="D161" s="46">
        <v>90550</v>
      </c>
      <c r="E161" s="127">
        <v>90550</v>
      </c>
      <c r="F161" s="46">
        <f t="shared" si="4"/>
        <v>100</v>
      </c>
    </row>
    <row r="162" spans="1:6" ht="12.75">
      <c r="A162" s="43" t="s">
        <v>246</v>
      </c>
      <c r="B162" s="44"/>
      <c r="C162" s="45">
        <v>200</v>
      </c>
      <c r="D162" s="46">
        <v>9000</v>
      </c>
      <c r="E162" s="127">
        <v>9000</v>
      </c>
      <c r="F162" s="46">
        <f t="shared" si="4"/>
        <v>100</v>
      </c>
    </row>
    <row r="163" spans="1:6" ht="22.5">
      <c r="A163" s="43" t="s">
        <v>304</v>
      </c>
      <c r="B163" s="44" t="s">
        <v>305</v>
      </c>
      <c r="C163" s="45"/>
      <c r="D163" s="46">
        <f>D164</f>
        <v>1042323</v>
      </c>
      <c r="E163" s="46">
        <f>E164</f>
        <v>1042323</v>
      </c>
      <c r="F163" s="46">
        <f t="shared" si="4"/>
        <v>100</v>
      </c>
    </row>
    <row r="164" spans="1:6" ht="12.75">
      <c r="A164" s="43" t="s">
        <v>246</v>
      </c>
      <c r="B164" s="44"/>
      <c r="C164" s="45">
        <v>200</v>
      </c>
      <c r="D164" s="46">
        <v>1042323</v>
      </c>
      <c r="E164" s="127">
        <v>1042323</v>
      </c>
      <c r="F164" s="46">
        <f t="shared" si="4"/>
        <v>100</v>
      </c>
    </row>
    <row r="165" spans="1:6" ht="22.5">
      <c r="A165" s="43" t="s">
        <v>306</v>
      </c>
      <c r="B165" s="44" t="s">
        <v>307</v>
      </c>
      <c r="C165" s="45"/>
      <c r="D165" s="46">
        <f>D166</f>
        <v>111760</v>
      </c>
      <c r="E165" s="46">
        <f>E166</f>
        <v>111760</v>
      </c>
      <c r="F165" s="46">
        <f t="shared" si="4"/>
        <v>100</v>
      </c>
    </row>
    <row r="166" spans="1:6" ht="12.75">
      <c r="A166" s="43" t="s">
        <v>193</v>
      </c>
      <c r="B166" s="44"/>
      <c r="C166" s="45">
        <v>500</v>
      </c>
      <c r="D166" s="46">
        <v>111760</v>
      </c>
      <c r="E166" s="127">
        <v>111760</v>
      </c>
      <c r="F166" s="46">
        <f t="shared" si="4"/>
        <v>100</v>
      </c>
    </row>
    <row r="167" spans="1:6" ht="12.75">
      <c r="A167" s="43" t="s">
        <v>308</v>
      </c>
      <c r="B167" s="44" t="s">
        <v>309</v>
      </c>
      <c r="C167" s="45"/>
      <c r="D167" s="46">
        <f>D168</f>
        <v>389318</v>
      </c>
      <c r="E167" s="46">
        <f>E168</f>
        <v>389318</v>
      </c>
      <c r="F167" s="46">
        <f t="shared" si="4"/>
        <v>100</v>
      </c>
    </row>
    <row r="168" spans="1:6" ht="22.5">
      <c r="A168" s="43" t="s">
        <v>192</v>
      </c>
      <c r="B168" s="44"/>
      <c r="C168" s="45">
        <v>100</v>
      </c>
      <c r="D168" s="46">
        <v>389318</v>
      </c>
      <c r="E168" s="127">
        <v>389318</v>
      </c>
      <c r="F168" s="46">
        <f t="shared" si="4"/>
        <v>100</v>
      </c>
    </row>
    <row r="169" spans="1:6" ht="12.75" hidden="1">
      <c r="A169" s="43" t="s">
        <v>310</v>
      </c>
      <c r="B169" s="44" t="s">
        <v>311</v>
      </c>
      <c r="C169" s="45"/>
      <c r="D169" s="46"/>
      <c r="E169" s="127"/>
      <c r="F169" s="46" t="e">
        <f t="shared" si="4"/>
        <v>#DIV/0!</v>
      </c>
    </row>
    <row r="170" spans="1:6" ht="12.75" hidden="1">
      <c r="A170" s="43" t="s">
        <v>194</v>
      </c>
      <c r="B170" s="44"/>
      <c r="C170" s="45">
        <v>800</v>
      </c>
      <c r="D170" s="46"/>
      <c r="E170" s="127"/>
      <c r="F170" s="46" t="e">
        <f t="shared" si="4"/>
        <v>#DIV/0!</v>
      </c>
    </row>
    <row r="171" spans="1:6" ht="22.5">
      <c r="A171" s="43" t="s">
        <v>310</v>
      </c>
      <c r="B171" s="44" t="s">
        <v>435</v>
      </c>
      <c r="C171" s="45"/>
      <c r="D171" s="46">
        <f>D172</f>
        <v>9385.64</v>
      </c>
      <c r="E171" s="127">
        <f>E172</f>
        <v>9385.64</v>
      </c>
      <c r="F171" s="46">
        <f>F172</f>
        <v>100</v>
      </c>
    </row>
    <row r="172" spans="1:6" ht="12.75">
      <c r="A172" s="43" t="s">
        <v>194</v>
      </c>
      <c r="B172" s="44"/>
      <c r="C172" s="45">
        <v>800</v>
      </c>
      <c r="D172" s="46">
        <v>9385.64</v>
      </c>
      <c r="E172" s="127">
        <v>9385.64</v>
      </c>
      <c r="F172" s="46">
        <v>100</v>
      </c>
    </row>
    <row r="173" spans="1:6" ht="12.75">
      <c r="A173" s="61" t="s">
        <v>135</v>
      </c>
      <c r="B173" s="44"/>
      <c r="C173" s="45"/>
      <c r="D173" s="46">
        <f>'доходы (прил.1)'!C52-D174</f>
        <v>-2335355.9100000113</v>
      </c>
      <c r="E173" s="46">
        <f>'доходы (прил.1)'!D52-E174</f>
        <v>-2023241.8899999931</v>
      </c>
      <c r="F173" s="46">
        <f t="shared" si="4"/>
        <v>86.63526965360853</v>
      </c>
    </row>
    <row r="174" spans="1:6" ht="12.75">
      <c r="A174" s="121" t="s">
        <v>134</v>
      </c>
      <c r="B174" s="122"/>
      <c r="C174" s="120"/>
      <c r="D174" s="62">
        <f>D7+D12+D24+D39+D65+D75+D112+D126+D138+D145</f>
        <v>69265825.28</v>
      </c>
      <c r="E174" s="62">
        <f>E7+E12+E24+E39+E65+E75+E112+E126+E138+E145</f>
        <v>63831978.589999996</v>
      </c>
      <c r="F174" s="62">
        <f t="shared" si="4"/>
        <v>92.1550827294207</v>
      </c>
    </row>
    <row r="179" ht="12.75">
      <c r="F179" s="114">
        <v>0</v>
      </c>
    </row>
  </sheetData>
  <sheetProtection/>
  <mergeCells count="2">
    <mergeCell ref="A2:F2"/>
    <mergeCell ref="A4:F4"/>
  </mergeCell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5" r:id="rId1"/>
  <rowBreaks count="4" manualBreakCount="4">
    <brk id="28" max="5" man="1"/>
    <brk id="80" max="5" man="1"/>
    <brk id="111" max="5" man="1"/>
    <brk id="1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136">
      <selection activeCell="E77" sqref="E77"/>
    </sheetView>
  </sheetViews>
  <sheetFormatPr defaultColWidth="9.140625" defaultRowHeight="12.75"/>
  <cols>
    <col min="1" max="1" width="5.7109375" style="167" bestFit="1" customWidth="1"/>
    <col min="2" max="2" width="17.28125" style="167" bestFit="1" customWidth="1"/>
    <col min="3" max="3" width="14.00390625" style="167" customWidth="1"/>
    <col min="4" max="4" width="4.00390625" style="167" bestFit="1" customWidth="1"/>
    <col min="5" max="5" width="66.00390625" style="167" customWidth="1"/>
    <col min="6" max="8" width="16.7109375" style="167" customWidth="1"/>
    <col min="9" max="10" width="12.28125" style="167" bestFit="1" customWidth="1"/>
    <col min="11" max="11" width="11.28125" style="167" bestFit="1" customWidth="1"/>
    <col min="12" max="13" width="12.28125" style="167" bestFit="1" customWidth="1"/>
    <col min="14" max="14" width="9.140625" style="174" customWidth="1"/>
    <col min="15" max="16384" width="9.140625" style="167" customWidth="1"/>
  </cols>
  <sheetData>
    <row r="1" spans="8:14" ht="35.25" customHeight="1">
      <c r="H1" s="209" t="s">
        <v>437</v>
      </c>
      <c r="I1" s="209"/>
      <c r="J1" s="209"/>
      <c r="K1" s="209"/>
      <c r="L1" s="209"/>
      <c r="M1" s="209"/>
      <c r="N1" s="209"/>
    </row>
    <row r="2" ht="22.5" customHeight="1"/>
    <row r="3" spans="1:14" ht="30.75" customHeight="1">
      <c r="A3" s="216" t="s">
        <v>426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0" ht="15.75">
      <c r="A4" s="175"/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5.75">
      <c r="A5" s="175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>
      <c r="A6" s="175"/>
      <c r="B6" s="177"/>
      <c r="C6" s="177"/>
      <c r="D6" s="177"/>
      <c r="E6" s="175"/>
      <c r="F6" s="178"/>
      <c r="G6" s="178"/>
      <c r="H6" s="178"/>
      <c r="I6" s="178"/>
      <c r="J6" s="178"/>
    </row>
    <row r="7" spans="1:14" ht="12.75" customHeight="1">
      <c r="A7" s="210" t="s">
        <v>312</v>
      </c>
      <c r="B7" s="210" t="s">
        <v>313</v>
      </c>
      <c r="C7" s="210" t="s">
        <v>137</v>
      </c>
      <c r="D7" s="210" t="s">
        <v>314</v>
      </c>
      <c r="E7" s="211" t="s">
        <v>136</v>
      </c>
      <c r="F7" s="215" t="s">
        <v>70</v>
      </c>
      <c r="G7" s="215"/>
      <c r="H7" s="215"/>
      <c r="I7" s="215" t="s">
        <v>425</v>
      </c>
      <c r="J7" s="215"/>
      <c r="K7" s="215"/>
      <c r="L7" s="215" t="s">
        <v>396</v>
      </c>
      <c r="M7" s="215"/>
      <c r="N7" s="215"/>
    </row>
    <row r="8" spans="1:14" ht="38.25">
      <c r="A8" s="210"/>
      <c r="B8" s="210"/>
      <c r="C8" s="210"/>
      <c r="D8" s="210"/>
      <c r="E8" s="211"/>
      <c r="F8" s="67" t="s">
        <v>395</v>
      </c>
      <c r="G8" s="67" t="s">
        <v>434</v>
      </c>
      <c r="H8" s="67" t="s">
        <v>394</v>
      </c>
      <c r="I8" s="67" t="s">
        <v>395</v>
      </c>
      <c r="J8" s="67" t="s">
        <v>434</v>
      </c>
      <c r="K8" s="67" t="s">
        <v>394</v>
      </c>
      <c r="L8" s="67" t="s">
        <v>395</v>
      </c>
      <c r="M8" s="67" t="s">
        <v>438</v>
      </c>
      <c r="N8" s="166" t="s">
        <v>394</v>
      </c>
    </row>
    <row r="9" spans="1:14" ht="12.75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3"/>
      <c r="G9" s="63"/>
      <c r="H9" s="63"/>
      <c r="I9" s="67"/>
      <c r="J9" s="63"/>
      <c r="K9" s="63"/>
      <c r="L9" s="67"/>
      <c r="M9" s="63"/>
      <c r="N9" s="179"/>
    </row>
    <row r="10" spans="1:14" ht="12.75">
      <c r="A10" s="64" t="s">
        <v>315</v>
      </c>
      <c r="B10" s="212" t="s">
        <v>316</v>
      </c>
      <c r="C10" s="213"/>
      <c r="D10" s="213"/>
      <c r="E10" s="214"/>
      <c r="F10" s="65"/>
      <c r="G10" s="65"/>
      <c r="H10" s="65"/>
      <c r="I10" s="168"/>
      <c r="J10" s="65"/>
      <c r="K10" s="65"/>
      <c r="L10" s="168"/>
      <c r="M10" s="65"/>
      <c r="N10" s="179"/>
    </row>
    <row r="11" spans="1:14" s="181" customFormat="1" ht="12.75">
      <c r="A11" s="66" t="s">
        <v>315</v>
      </c>
      <c r="B11" s="169" t="s">
        <v>72</v>
      </c>
      <c r="C11" s="169"/>
      <c r="D11" s="169"/>
      <c r="E11" s="73" t="s">
        <v>317</v>
      </c>
      <c r="F11" s="72">
        <f>F12+F15+F18+F23+F31+F34</f>
        <v>0</v>
      </c>
      <c r="G11" s="72"/>
      <c r="H11" s="68"/>
      <c r="I11" s="72">
        <f>I12+I15+I18+I23+I28+I31+I34</f>
        <v>9601807.81</v>
      </c>
      <c r="J11" s="72">
        <f>J12+J15+J18+J23+J28+J31+J34</f>
        <v>9384008.72</v>
      </c>
      <c r="K11" s="72">
        <f>(J11/I11)*100</f>
        <v>97.73168663329037</v>
      </c>
      <c r="L11" s="72">
        <f>F11+I11</f>
        <v>9601807.81</v>
      </c>
      <c r="M11" s="72">
        <f>G11+J11</f>
        <v>9384008.72</v>
      </c>
      <c r="N11" s="180">
        <f>(M11/L11)*100</f>
        <v>97.73168663329037</v>
      </c>
    </row>
    <row r="12" spans="1:14" s="181" customFormat="1" ht="25.5">
      <c r="A12" s="66" t="s">
        <v>315</v>
      </c>
      <c r="B12" s="66" t="s">
        <v>74</v>
      </c>
      <c r="C12" s="170"/>
      <c r="D12" s="170"/>
      <c r="E12" s="73" t="s">
        <v>318</v>
      </c>
      <c r="F12" s="72"/>
      <c r="G12" s="72"/>
      <c r="H12" s="68"/>
      <c r="I12" s="72">
        <f>I13</f>
        <v>699928.91</v>
      </c>
      <c r="J12" s="72">
        <v>699928.91</v>
      </c>
      <c r="K12" s="72">
        <f aca="true" t="shared" si="0" ref="K12:K81">(J12/I12)*100</f>
        <v>100</v>
      </c>
      <c r="L12" s="72">
        <f aca="true" t="shared" si="1" ref="L12:L81">F12+I12</f>
        <v>699928.91</v>
      </c>
      <c r="M12" s="72">
        <f aca="true" t="shared" si="2" ref="M12:M81">G12+J12</f>
        <v>699928.91</v>
      </c>
      <c r="N12" s="180">
        <f aca="true" t="shared" si="3" ref="N12:N81">(M12/L12)*100</f>
        <v>100</v>
      </c>
    </row>
    <row r="13" spans="1:14" ht="12.75">
      <c r="A13" s="64" t="s">
        <v>315</v>
      </c>
      <c r="B13" s="64" t="s">
        <v>74</v>
      </c>
      <c r="C13" s="67" t="s">
        <v>319</v>
      </c>
      <c r="D13" s="67"/>
      <c r="E13" s="71" t="s">
        <v>290</v>
      </c>
      <c r="F13" s="68"/>
      <c r="G13" s="68"/>
      <c r="H13" s="68"/>
      <c r="I13" s="68">
        <f>I14</f>
        <v>699928.91</v>
      </c>
      <c r="J13" s="68">
        <f>J14</f>
        <v>699928.91</v>
      </c>
      <c r="K13" s="68">
        <f t="shared" si="0"/>
        <v>100</v>
      </c>
      <c r="L13" s="68">
        <f t="shared" si="1"/>
        <v>699928.91</v>
      </c>
      <c r="M13" s="68">
        <f t="shared" si="2"/>
        <v>699928.91</v>
      </c>
      <c r="N13" s="179">
        <f t="shared" si="3"/>
        <v>100</v>
      </c>
    </row>
    <row r="14" spans="1:14" ht="33.75">
      <c r="A14" s="64" t="s">
        <v>315</v>
      </c>
      <c r="B14" s="64" t="s">
        <v>74</v>
      </c>
      <c r="C14" s="67" t="s">
        <v>319</v>
      </c>
      <c r="D14" s="67">
        <v>100</v>
      </c>
      <c r="E14" s="69" t="s">
        <v>320</v>
      </c>
      <c r="F14" s="68"/>
      <c r="G14" s="68"/>
      <c r="H14" s="68"/>
      <c r="I14" s="68">
        <v>699928.91</v>
      </c>
      <c r="J14" s="68">
        <v>699928.91</v>
      </c>
      <c r="K14" s="68">
        <f t="shared" si="0"/>
        <v>100</v>
      </c>
      <c r="L14" s="68">
        <f t="shared" si="1"/>
        <v>699928.91</v>
      </c>
      <c r="M14" s="68">
        <f t="shared" si="2"/>
        <v>699928.91</v>
      </c>
      <c r="N14" s="179">
        <f t="shared" si="3"/>
        <v>100</v>
      </c>
    </row>
    <row r="15" spans="1:14" ht="38.25">
      <c r="A15" s="64" t="s">
        <v>315</v>
      </c>
      <c r="B15" s="66" t="s">
        <v>76</v>
      </c>
      <c r="C15" s="67"/>
      <c r="D15" s="67"/>
      <c r="E15" s="71" t="s">
        <v>77</v>
      </c>
      <c r="F15" s="68"/>
      <c r="G15" s="68"/>
      <c r="H15" s="68"/>
      <c r="I15" s="72">
        <f>I16</f>
        <v>0</v>
      </c>
      <c r="J15" s="72">
        <f>J16</f>
        <v>0</v>
      </c>
      <c r="K15" s="68">
        <v>0</v>
      </c>
      <c r="L15" s="68">
        <f t="shared" si="1"/>
        <v>0</v>
      </c>
      <c r="M15" s="68">
        <f t="shared" si="2"/>
        <v>0</v>
      </c>
      <c r="N15" s="179">
        <v>0</v>
      </c>
    </row>
    <row r="16" spans="1:14" ht="12.75">
      <c r="A16" s="64" t="s">
        <v>315</v>
      </c>
      <c r="B16" s="64" t="s">
        <v>76</v>
      </c>
      <c r="C16" s="67" t="s">
        <v>321</v>
      </c>
      <c r="D16" s="67"/>
      <c r="E16" s="69" t="s">
        <v>294</v>
      </c>
      <c r="F16" s="68"/>
      <c r="G16" s="68"/>
      <c r="H16" s="68"/>
      <c r="I16" s="68">
        <f>I17</f>
        <v>0</v>
      </c>
      <c r="J16" s="68">
        <f>J17</f>
        <v>0</v>
      </c>
      <c r="K16" s="68">
        <v>0</v>
      </c>
      <c r="L16" s="68">
        <f t="shared" si="1"/>
        <v>0</v>
      </c>
      <c r="M16" s="68">
        <f t="shared" si="2"/>
        <v>0</v>
      </c>
      <c r="N16" s="179">
        <v>0</v>
      </c>
    </row>
    <row r="17" spans="1:14" ht="12.75">
      <c r="A17" s="64" t="s">
        <v>315</v>
      </c>
      <c r="B17" s="64" t="s">
        <v>76</v>
      </c>
      <c r="C17" s="67" t="s">
        <v>321</v>
      </c>
      <c r="D17" s="67">
        <v>200</v>
      </c>
      <c r="E17" s="69" t="s">
        <v>246</v>
      </c>
      <c r="F17" s="68"/>
      <c r="G17" s="68"/>
      <c r="H17" s="68"/>
      <c r="I17" s="68">
        <v>0</v>
      </c>
      <c r="J17" s="68">
        <v>0</v>
      </c>
      <c r="K17" s="68">
        <v>0</v>
      </c>
      <c r="L17" s="68">
        <f t="shared" si="1"/>
        <v>0</v>
      </c>
      <c r="M17" s="68">
        <f t="shared" si="2"/>
        <v>0</v>
      </c>
      <c r="N17" s="179">
        <v>0</v>
      </c>
    </row>
    <row r="18" spans="1:14" ht="38.25">
      <c r="A18" s="64" t="s">
        <v>315</v>
      </c>
      <c r="B18" s="70" t="s">
        <v>78</v>
      </c>
      <c r="C18" s="67"/>
      <c r="D18" s="67"/>
      <c r="E18" s="71" t="s">
        <v>79</v>
      </c>
      <c r="F18" s="68"/>
      <c r="G18" s="68"/>
      <c r="H18" s="68"/>
      <c r="I18" s="72">
        <f>I19</f>
        <v>7057354.62</v>
      </c>
      <c r="J18" s="72">
        <f>J19</f>
        <v>7057354.62</v>
      </c>
      <c r="K18" s="72">
        <f t="shared" si="0"/>
        <v>100</v>
      </c>
      <c r="L18" s="72">
        <f t="shared" si="1"/>
        <v>7057354.62</v>
      </c>
      <c r="M18" s="72">
        <f t="shared" si="2"/>
        <v>7057354.62</v>
      </c>
      <c r="N18" s="180">
        <f t="shared" si="3"/>
        <v>100</v>
      </c>
    </row>
    <row r="19" spans="1:14" ht="33.75">
      <c r="A19" s="64" t="s">
        <v>315</v>
      </c>
      <c r="B19" s="74" t="s">
        <v>78</v>
      </c>
      <c r="C19" s="67" t="s">
        <v>322</v>
      </c>
      <c r="D19" s="67"/>
      <c r="E19" s="69" t="s">
        <v>323</v>
      </c>
      <c r="F19" s="68"/>
      <c r="G19" s="68"/>
      <c r="H19" s="68"/>
      <c r="I19" s="68">
        <f>I20+I21+I22</f>
        <v>7057354.62</v>
      </c>
      <c r="J19" s="68">
        <f>J20+J21+J22</f>
        <v>7057354.62</v>
      </c>
      <c r="K19" s="68">
        <f t="shared" si="0"/>
        <v>100</v>
      </c>
      <c r="L19" s="68">
        <f t="shared" si="1"/>
        <v>7057354.62</v>
      </c>
      <c r="M19" s="68">
        <f t="shared" si="2"/>
        <v>7057354.62</v>
      </c>
      <c r="N19" s="179">
        <f t="shared" si="3"/>
        <v>100</v>
      </c>
    </row>
    <row r="20" spans="1:14" ht="33.75">
      <c r="A20" s="64" t="s">
        <v>315</v>
      </c>
      <c r="B20" s="74" t="s">
        <v>78</v>
      </c>
      <c r="C20" s="67" t="s">
        <v>322</v>
      </c>
      <c r="D20" s="67">
        <v>100</v>
      </c>
      <c r="E20" s="69" t="s">
        <v>320</v>
      </c>
      <c r="F20" s="68"/>
      <c r="G20" s="68"/>
      <c r="H20" s="68"/>
      <c r="I20" s="68">
        <v>5663746.96</v>
      </c>
      <c r="J20" s="68">
        <v>5663746.96</v>
      </c>
      <c r="K20" s="68">
        <f t="shared" si="0"/>
        <v>100</v>
      </c>
      <c r="L20" s="68">
        <f t="shared" si="1"/>
        <v>5663746.96</v>
      </c>
      <c r="M20" s="68">
        <f t="shared" si="2"/>
        <v>5663746.96</v>
      </c>
      <c r="N20" s="179">
        <f t="shared" si="3"/>
        <v>100</v>
      </c>
    </row>
    <row r="21" spans="1:14" ht="12.75">
      <c r="A21" s="64" t="s">
        <v>315</v>
      </c>
      <c r="B21" s="74" t="s">
        <v>78</v>
      </c>
      <c r="C21" s="67" t="s">
        <v>322</v>
      </c>
      <c r="D21" s="67">
        <v>200</v>
      </c>
      <c r="E21" s="69" t="s">
        <v>246</v>
      </c>
      <c r="F21" s="68"/>
      <c r="G21" s="68"/>
      <c r="H21" s="68"/>
      <c r="I21" s="68">
        <v>753462.53</v>
      </c>
      <c r="J21" s="68">
        <v>753462.53</v>
      </c>
      <c r="K21" s="68">
        <f t="shared" si="0"/>
        <v>100</v>
      </c>
      <c r="L21" s="68">
        <f t="shared" si="1"/>
        <v>753462.53</v>
      </c>
      <c r="M21" s="68">
        <f t="shared" si="2"/>
        <v>753462.53</v>
      </c>
      <c r="N21" s="179">
        <f t="shared" si="3"/>
        <v>100</v>
      </c>
    </row>
    <row r="22" spans="1:14" ht="12.75">
      <c r="A22" s="64" t="s">
        <v>315</v>
      </c>
      <c r="B22" s="74" t="s">
        <v>78</v>
      </c>
      <c r="C22" s="67" t="s">
        <v>322</v>
      </c>
      <c r="D22" s="67">
        <v>800</v>
      </c>
      <c r="E22" s="69" t="s">
        <v>194</v>
      </c>
      <c r="F22" s="68"/>
      <c r="G22" s="68"/>
      <c r="H22" s="68"/>
      <c r="I22" s="68">
        <v>640145.13</v>
      </c>
      <c r="J22" s="68">
        <v>640145.13</v>
      </c>
      <c r="K22" s="68">
        <f t="shared" si="0"/>
        <v>100</v>
      </c>
      <c r="L22" s="68">
        <f t="shared" si="1"/>
        <v>640145.13</v>
      </c>
      <c r="M22" s="68">
        <f t="shared" si="2"/>
        <v>640145.13</v>
      </c>
      <c r="N22" s="179">
        <f t="shared" si="3"/>
        <v>100</v>
      </c>
    </row>
    <row r="23" spans="1:14" s="181" customFormat="1" ht="25.5">
      <c r="A23" s="66" t="s">
        <v>315</v>
      </c>
      <c r="B23" s="70" t="s">
        <v>80</v>
      </c>
      <c r="C23" s="79"/>
      <c r="D23" s="79"/>
      <c r="E23" s="73" t="s">
        <v>81</v>
      </c>
      <c r="F23" s="72"/>
      <c r="G23" s="72"/>
      <c r="H23" s="72"/>
      <c r="I23" s="72">
        <f>I24+I26</f>
        <v>135896.3</v>
      </c>
      <c r="J23" s="72">
        <f>J24+J26</f>
        <v>135896.3</v>
      </c>
      <c r="K23" s="72">
        <f t="shared" si="0"/>
        <v>100</v>
      </c>
      <c r="L23" s="72">
        <f t="shared" si="1"/>
        <v>135896.3</v>
      </c>
      <c r="M23" s="72">
        <f t="shared" si="2"/>
        <v>135896.3</v>
      </c>
      <c r="N23" s="180">
        <f t="shared" si="3"/>
        <v>100</v>
      </c>
    </row>
    <row r="24" spans="1:14" ht="22.5">
      <c r="A24" s="64" t="s">
        <v>315</v>
      </c>
      <c r="B24" s="74" t="s">
        <v>80</v>
      </c>
      <c r="C24" s="67" t="s">
        <v>324</v>
      </c>
      <c r="D24" s="67"/>
      <c r="E24" s="69" t="s">
        <v>296</v>
      </c>
      <c r="F24" s="68"/>
      <c r="G24" s="68"/>
      <c r="H24" s="68"/>
      <c r="I24" s="68">
        <f>I25</f>
        <v>24136.3</v>
      </c>
      <c r="J24" s="68">
        <f>J25</f>
        <v>24136.3</v>
      </c>
      <c r="K24" s="68">
        <f t="shared" si="0"/>
        <v>100</v>
      </c>
      <c r="L24" s="68">
        <f t="shared" si="1"/>
        <v>24136.3</v>
      </c>
      <c r="M24" s="68">
        <f t="shared" si="2"/>
        <v>24136.3</v>
      </c>
      <c r="N24" s="179">
        <f t="shared" si="3"/>
        <v>100</v>
      </c>
    </row>
    <row r="25" spans="1:14" ht="12.75">
      <c r="A25" s="64" t="s">
        <v>315</v>
      </c>
      <c r="B25" s="74" t="s">
        <v>80</v>
      </c>
      <c r="C25" s="67" t="s">
        <v>324</v>
      </c>
      <c r="D25" s="67">
        <v>500</v>
      </c>
      <c r="E25" s="71" t="s">
        <v>193</v>
      </c>
      <c r="F25" s="68"/>
      <c r="G25" s="68"/>
      <c r="H25" s="68"/>
      <c r="I25" s="68">
        <v>24136.3</v>
      </c>
      <c r="J25" s="68">
        <v>24136.3</v>
      </c>
      <c r="K25" s="68">
        <f t="shared" si="0"/>
        <v>100</v>
      </c>
      <c r="L25" s="68">
        <f t="shared" si="1"/>
        <v>24136.3</v>
      </c>
      <c r="M25" s="68">
        <f t="shared" si="2"/>
        <v>24136.3</v>
      </c>
      <c r="N25" s="179">
        <f t="shared" si="3"/>
        <v>100</v>
      </c>
    </row>
    <row r="26" spans="1:14" ht="38.25">
      <c r="A26" s="64" t="s">
        <v>315</v>
      </c>
      <c r="B26" s="74" t="s">
        <v>80</v>
      </c>
      <c r="C26" s="67" t="s">
        <v>307</v>
      </c>
      <c r="D26" s="67"/>
      <c r="E26" s="71" t="s">
        <v>306</v>
      </c>
      <c r="F26" s="68"/>
      <c r="G26" s="68"/>
      <c r="H26" s="68"/>
      <c r="I26" s="68">
        <f>I27</f>
        <v>111760</v>
      </c>
      <c r="J26" s="68">
        <v>111760</v>
      </c>
      <c r="K26" s="68">
        <f t="shared" si="0"/>
        <v>100</v>
      </c>
      <c r="L26" s="68">
        <f t="shared" si="1"/>
        <v>111760</v>
      </c>
      <c r="M26" s="68">
        <f t="shared" si="2"/>
        <v>111760</v>
      </c>
      <c r="N26" s="179">
        <f t="shared" si="3"/>
        <v>100</v>
      </c>
    </row>
    <row r="27" spans="1:14" ht="12.75">
      <c r="A27" s="64" t="s">
        <v>315</v>
      </c>
      <c r="B27" s="74" t="s">
        <v>80</v>
      </c>
      <c r="C27" s="67" t="s">
        <v>307</v>
      </c>
      <c r="D27" s="67">
        <v>500</v>
      </c>
      <c r="E27" s="71" t="s">
        <v>193</v>
      </c>
      <c r="F27" s="68"/>
      <c r="G27" s="68"/>
      <c r="H27" s="68"/>
      <c r="I27" s="68">
        <v>111760</v>
      </c>
      <c r="J27" s="68">
        <v>111760</v>
      </c>
      <c r="K27" s="68">
        <f t="shared" si="0"/>
        <v>100</v>
      </c>
      <c r="L27" s="68">
        <f t="shared" si="1"/>
        <v>111760</v>
      </c>
      <c r="M27" s="68">
        <f t="shared" si="2"/>
        <v>111760</v>
      </c>
      <c r="N27" s="179">
        <f t="shared" si="3"/>
        <v>100</v>
      </c>
    </row>
    <row r="28" spans="1:14" s="181" customFormat="1" ht="12.75">
      <c r="A28" s="66" t="s">
        <v>315</v>
      </c>
      <c r="B28" s="70" t="s">
        <v>82</v>
      </c>
      <c r="C28" s="79"/>
      <c r="D28" s="79"/>
      <c r="E28" s="73" t="s">
        <v>83</v>
      </c>
      <c r="F28" s="72"/>
      <c r="G28" s="72"/>
      <c r="H28" s="72"/>
      <c r="I28" s="72">
        <f>I29</f>
        <v>1042323</v>
      </c>
      <c r="J28" s="72">
        <f>J29</f>
        <v>1042323</v>
      </c>
      <c r="K28" s="72">
        <f t="shared" si="0"/>
        <v>100</v>
      </c>
      <c r="L28" s="72">
        <f t="shared" si="1"/>
        <v>1042323</v>
      </c>
      <c r="M28" s="72">
        <f t="shared" si="2"/>
        <v>1042323</v>
      </c>
      <c r="N28" s="180">
        <f t="shared" si="3"/>
        <v>100</v>
      </c>
    </row>
    <row r="29" spans="1:14" ht="12.75">
      <c r="A29" s="64" t="s">
        <v>315</v>
      </c>
      <c r="B29" s="74" t="s">
        <v>82</v>
      </c>
      <c r="C29" s="67" t="s">
        <v>305</v>
      </c>
      <c r="D29" s="67"/>
      <c r="E29" s="71" t="s">
        <v>304</v>
      </c>
      <c r="F29" s="68"/>
      <c r="G29" s="68"/>
      <c r="H29" s="68"/>
      <c r="I29" s="68">
        <f>I30</f>
        <v>1042323</v>
      </c>
      <c r="J29" s="68">
        <f>J30</f>
        <v>1042323</v>
      </c>
      <c r="K29" s="68">
        <f t="shared" si="0"/>
        <v>100</v>
      </c>
      <c r="L29" s="68">
        <f t="shared" si="1"/>
        <v>1042323</v>
      </c>
      <c r="M29" s="68">
        <f t="shared" si="2"/>
        <v>1042323</v>
      </c>
      <c r="N29" s="179">
        <f t="shared" si="3"/>
        <v>100</v>
      </c>
    </row>
    <row r="30" spans="1:14" ht="12.75">
      <c r="A30" s="64" t="s">
        <v>315</v>
      </c>
      <c r="B30" s="74" t="s">
        <v>82</v>
      </c>
      <c r="C30" s="67" t="s">
        <v>305</v>
      </c>
      <c r="D30" s="67">
        <v>200</v>
      </c>
      <c r="E30" s="69" t="s">
        <v>246</v>
      </c>
      <c r="F30" s="68"/>
      <c r="G30" s="68"/>
      <c r="H30" s="68"/>
      <c r="I30" s="68">
        <v>1042323</v>
      </c>
      <c r="J30" s="68">
        <v>1042323</v>
      </c>
      <c r="K30" s="68">
        <f t="shared" si="0"/>
        <v>100</v>
      </c>
      <c r="L30" s="68">
        <f t="shared" si="1"/>
        <v>1042323</v>
      </c>
      <c r="M30" s="68">
        <f t="shared" si="2"/>
        <v>1042323</v>
      </c>
      <c r="N30" s="179">
        <f t="shared" si="3"/>
        <v>100</v>
      </c>
    </row>
    <row r="31" spans="1:14" s="181" customFormat="1" ht="12.75">
      <c r="A31" s="66" t="s">
        <v>315</v>
      </c>
      <c r="B31" s="66" t="s">
        <v>84</v>
      </c>
      <c r="C31" s="79"/>
      <c r="D31" s="79"/>
      <c r="E31" s="73" t="s">
        <v>85</v>
      </c>
      <c r="F31" s="72"/>
      <c r="G31" s="72"/>
      <c r="H31" s="72"/>
      <c r="I31" s="72">
        <f>I32</f>
        <v>155000</v>
      </c>
      <c r="J31" s="72">
        <f>J32</f>
        <v>0</v>
      </c>
      <c r="K31" s="72">
        <f t="shared" si="0"/>
        <v>0</v>
      </c>
      <c r="L31" s="72">
        <f t="shared" si="1"/>
        <v>155000</v>
      </c>
      <c r="M31" s="72">
        <f t="shared" si="2"/>
        <v>0</v>
      </c>
      <c r="N31" s="180">
        <f t="shared" si="3"/>
        <v>0</v>
      </c>
    </row>
    <row r="32" spans="1:14" ht="22.5">
      <c r="A32" s="64" t="s">
        <v>315</v>
      </c>
      <c r="B32" s="64" t="s">
        <v>84</v>
      </c>
      <c r="C32" s="67" t="s">
        <v>325</v>
      </c>
      <c r="D32" s="67"/>
      <c r="E32" s="69" t="s">
        <v>326</v>
      </c>
      <c r="F32" s="68"/>
      <c r="G32" s="68"/>
      <c r="H32" s="68"/>
      <c r="I32" s="68">
        <f>I33</f>
        <v>155000</v>
      </c>
      <c r="J32" s="68">
        <f>J33</f>
        <v>0</v>
      </c>
      <c r="K32" s="68">
        <f t="shared" si="0"/>
        <v>0</v>
      </c>
      <c r="L32" s="68">
        <f t="shared" si="1"/>
        <v>155000</v>
      </c>
      <c r="M32" s="68">
        <f t="shared" si="2"/>
        <v>0</v>
      </c>
      <c r="N32" s="179">
        <f t="shared" si="3"/>
        <v>0</v>
      </c>
    </row>
    <row r="33" spans="1:14" ht="12.75">
      <c r="A33" s="64" t="s">
        <v>315</v>
      </c>
      <c r="B33" s="64" t="s">
        <v>84</v>
      </c>
      <c r="C33" s="67" t="s">
        <v>325</v>
      </c>
      <c r="D33" s="67">
        <v>800</v>
      </c>
      <c r="E33" s="69" t="s">
        <v>194</v>
      </c>
      <c r="F33" s="68"/>
      <c r="G33" s="68"/>
      <c r="H33" s="68"/>
      <c r="I33" s="68">
        <v>155000</v>
      </c>
      <c r="J33" s="68">
        <v>0</v>
      </c>
      <c r="K33" s="68">
        <f t="shared" si="0"/>
        <v>0</v>
      </c>
      <c r="L33" s="68">
        <f t="shared" si="1"/>
        <v>155000</v>
      </c>
      <c r="M33" s="68">
        <f t="shared" si="2"/>
        <v>0</v>
      </c>
      <c r="N33" s="179">
        <f t="shared" si="3"/>
        <v>0</v>
      </c>
    </row>
    <row r="34" spans="1:14" s="181" customFormat="1" ht="12.75">
      <c r="A34" s="66" t="s">
        <v>315</v>
      </c>
      <c r="B34" s="66" t="s">
        <v>86</v>
      </c>
      <c r="C34" s="171"/>
      <c r="D34" s="171"/>
      <c r="E34" s="73" t="s">
        <v>87</v>
      </c>
      <c r="F34" s="72"/>
      <c r="G34" s="72"/>
      <c r="H34" s="72"/>
      <c r="I34" s="72">
        <f>I35+I37+I39+I41+I43</f>
        <v>511304.98</v>
      </c>
      <c r="J34" s="72">
        <f>J35+J37+J39+J41+J43</f>
        <v>448505.89</v>
      </c>
      <c r="K34" s="72">
        <f t="shared" si="0"/>
        <v>87.71788023656644</v>
      </c>
      <c r="L34" s="72">
        <f t="shared" si="1"/>
        <v>511304.98</v>
      </c>
      <c r="M34" s="72">
        <f t="shared" si="2"/>
        <v>448505.89</v>
      </c>
      <c r="N34" s="180">
        <f t="shared" si="3"/>
        <v>87.71788023656644</v>
      </c>
    </row>
    <row r="35" spans="1:14" ht="22.5">
      <c r="A35" s="64" t="s">
        <v>315</v>
      </c>
      <c r="B35" s="64" t="s">
        <v>86</v>
      </c>
      <c r="C35" s="67" t="s">
        <v>327</v>
      </c>
      <c r="D35" s="67"/>
      <c r="E35" s="69" t="s">
        <v>328</v>
      </c>
      <c r="F35" s="68"/>
      <c r="G35" s="68"/>
      <c r="H35" s="68"/>
      <c r="I35" s="68">
        <f>I36</f>
        <v>199930.01</v>
      </c>
      <c r="J35" s="68">
        <f>J36</f>
        <v>145463.92</v>
      </c>
      <c r="K35" s="68">
        <f t="shared" si="0"/>
        <v>72.7574214596398</v>
      </c>
      <c r="L35" s="68">
        <f t="shared" si="1"/>
        <v>199930.01</v>
      </c>
      <c r="M35" s="68">
        <f t="shared" si="2"/>
        <v>145463.92</v>
      </c>
      <c r="N35" s="179">
        <f t="shared" si="3"/>
        <v>72.7574214596398</v>
      </c>
    </row>
    <row r="36" spans="1:14" ht="12.75">
      <c r="A36" s="64" t="s">
        <v>315</v>
      </c>
      <c r="B36" s="64" t="s">
        <v>86</v>
      </c>
      <c r="C36" s="67" t="s">
        <v>327</v>
      </c>
      <c r="D36" s="67">
        <v>200</v>
      </c>
      <c r="E36" s="69" t="s">
        <v>246</v>
      </c>
      <c r="F36" s="68"/>
      <c r="G36" s="68"/>
      <c r="H36" s="68"/>
      <c r="I36" s="68">
        <v>199930.01</v>
      </c>
      <c r="J36" s="68">
        <v>145463.92</v>
      </c>
      <c r="K36" s="68">
        <f t="shared" si="0"/>
        <v>72.7574214596398</v>
      </c>
      <c r="L36" s="68">
        <f t="shared" si="1"/>
        <v>199930.01</v>
      </c>
      <c r="M36" s="68">
        <f t="shared" si="2"/>
        <v>145463.92</v>
      </c>
      <c r="N36" s="179">
        <f t="shared" si="3"/>
        <v>72.7574214596398</v>
      </c>
    </row>
    <row r="37" spans="1:14" ht="22.5">
      <c r="A37" s="64" t="s">
        <v>315</v>
      </c>
      <c r="B37" s="64" t="s">
        <v>86</v>
      </c>
      <c r="C37" s="67" t="s">
        <v>329</v>
      </c>
      <c r="D37" s="67"/>
      <c r="E37" s="69" t="s">
        <v>264</v>
      </c>
      <c r="F37" s="68"/>
      <c r="G37" s="68"/>
      <c r="H37" s="68"/>
      <c r="I37" s="68">
        <f>I38</f>
        <v>185870.08</v>
      </c>
      <c r="J37" s="68">
        <f>J38</f>
        <v>177537.08</v>
      </c>
      <c r="K37" s="68">
        <f t="shared" si="0"/>
        <v>95.5167609547486</v>
      </c>
      <c r="L37" s="68">
        <f t="shared" si="1"/>
        <v>185870.08</v>
      </c>
      <c r="M37" s="68">
        <f t="shared" si="2"/>
        <v>177537.08</v>
      </c>
      <c r="N37" s="179">
        <f t="shared" si="3"/>
        <v>95.5167609547486</v>
      </c>
    </row>
    <row r="38" spans="1:14" ht="12.75">
      <c r="A38" s="64" t="s">
        <v>315</v>
      </c>
      <c r="B38" s="64" t="s">
        <v>86</v>
      </c>
      <c r="C38" s="67" t="s">
        <v>329</v>
      </c>
      <c r="D38" s="67">
        <v>200</v>
      </c>
      <c r="E38" s="69" t="s">
        <v>246</v>
      </c>
      <c r="F38" s="68"/>
      <c r="G38" s="68"/>
      <c r="H38" s="68"/>
      <c r="I38" s="68">
        <v>185870.08</v>
      </c>
      <c r="J38" s="68">
        <v>177537.08</v>
      </c>
      <c r="K38" s="68">
        <f t="shared" si="0"/>
        <v>95.5167609547486</v>
      </c>
      <c r="L38" s="68">
        <f t="shared" si="1"/>
        <v>185870.08</v>
      </c>
      <c r="M38" s="68">
        <f t="shared" si="2"/>
        <v>177537.08</v>
      </c>
      <c r="N38" s="179">
        <f t="shared" si="3"/>
        <v>95.5167609547486</v>
      </c>
    </row>
    <row r="39" spans="1:14" ht="12.75">
      <c r="A39" s="64" t="s">
        <v>315</v>
      </c>
      <c r="B39" s="64" t="s">
        <v>86</v>
      </c>
      <c r="C39" s="67" t="s">
        <v>330</v>
      </c>
      <c r="D39" s="67"/>
      <c r="E39" s="69" t="s">
        <v>268</v>
      </c>
      <c r="F39" s="68"/>
      <c r="G39" s="68"/>
      <c r="H39" s="68"/>
      <c r="I39" s="68">
        <f>I40</f>
        <v>23465</v>
      </c>
      <c r="J39" s="68">
        <f>J40</f>
        <v>23465</v>
      </c>
      <c r="K39" s="68">
        <f t="shared" si="0"/>
        <v>100</v>
      </c>
      <c r="L39" s="68">
        <f t="shared" si="1"/>
        <v>23465</v>
      </c>
      <c r="M39" s="68">
        <f t="shared" si="2"/>
        <v>23465</v>
      </c>
      <c r="N39" s="179">
        <f t="shared" si="3"/>
        <v>100</v>
      </c>
    </row>
    <row r="40" spans="1:14" ht="12.75">
      <c r="A40" s="64" t="s">
        <v>315</v>
      </c>
      <c r="B40" s="64" t="s">
        <v>86</v>
      </c>
      <c r="C40" s="67" t="s">
        <v>330</v>
      </c>
      <c r="D40" s="67">
        <v>200</v>
      </c>
      <c r="E40" s="69" t="s">
        <v>246</v>
      </c>
      <c r="F40" s="68"/>
      <c r="G40" s="68"/>
      <c r="H40" s="68"/>
      <c r="I40" s="68">
        <v>23465</v>
      </c>
      <c r="J40" s="68">
        <v>23465</v>
      </c>
      <c r="K40" s="68">
        <f t="shared" si="0"/>
        <v>100</v>
      </c>
      <c r="L40" s="68">
        <f t="shared" si="1"/>
        <v>23465</v>
      </c>
      <c r="M40" s="68">
        <f t="shared" si="2"/>
        <v>23465</v>
      </c>
      <c r="N40" s="179">
        <f t="shared" si="3"/>
        <v>100</v>
      </c>
    </row>
    <row r="41" spans="1:14" ht="12.75">
      <c r="A41" s="64" t="s">
        <v>315</v>
      </c>
      <c r="B41" s="64" t="s">
        <v>86</v>
      </c>
      <c r="C41" s="67" t="s">
        <v>331</v>
      </c>
      <c r="D41" s="67"/>
      <c r="E41" s="69" t="s">
        <v>272</v>
      </c>
      <c r="F41" s="68"/>
      <c r="G41" s="68"/>
      <c r="H41" s="68"/>
      <c r="I41" s="68">
        <f>I42</f>
        <v>92654.25</v>
      </c>
      <c r="J41" s="68">
        <f>J42</f>
        <v>92654.25</v>
      </c>
      <c r="K41" s="68">
        <f t="shared" si="0"/>
        <v>100</v>
      </c>
      <c r="L41" s="68">
        <f t="shared" si="1"/>
        <v>92654.25</v>
      </c>
      <c r="M41" s="68">
        <f t="shared" si="2"/>
        <v>92654.25</v>
      </c>
      <c r="N41" s="179">
        <f t="shared" si="3"/>
        <v>100</v>
      </c>
    </row>
    <row r="42" spans="1:14" ht="12.75">
      <c r="A42" s="64" t="s">
        <v>315</v>
      </c>
      <c r="B42" s="64" t="s">
        <v>86</v>
      </c>
      <c r="C42" s="67" t="s">
        <v>331</v>
      </c>
      <c r="D42" s="67">
        <v>200</v>
      </c>
      <c r="E42" s="69" t="s">
        <v>246</v>
      </c>
      <c r="F42" s="68"/>
      <c r="G42" s="68"/>
      <c r="H42" s="68"/>
      <c r="I42" s="68">
        <v>92654.25</v>
      </c>
      <c r="J42" s="68">
        <v>92654.25</v>
      </c>
      <c r="K42" s="68">
        <f t="shared" si="0"/>
        <v>100</v>
      </c>
      <c r="L42" s="68">
        <f t="shared" si="1"/>
        <v>92654.25</v>
      </c>
      <c r="M42" s="68">
        <f t="shared" si="2"/>
        <v>92654.25</v>
      </c>
      <c r="N42" s="179">
        <f t="shared" si="3"/>
        <v>100</v>
      </c>
    </row>
    <row r="43" spans="1:14" ht="12.75">
      <c r="A43" s="64" t="s">
        <v>315</v>
      </c>
      <c r="B43" s="64" t="s">
        <v>86</v>
      </c>
      <c r="C43" s="67" t="s">
        <v>435</v>
      </c>
      <c r="D43" s="67"/>
      <c r="E43" s="69" t="s">
        <v>310</v>
      </c>
      <c r="F43" s="68"/>
      <c r="G43" s="68"/>
      <c r="H43" s="68"/>
      <c r="I43" s="68">
        <f>I44</f>
        <v>9385.64</v>
      </c>
      <c r="J43" s="68">
        <f>J44</f>
        <v>9385.64</v>
      </c>
      <c r="K43" s="68"/>
      <c r="L43" s="68"/>
      <c r="M43" s="68"/>
      <c r="N43" s="179"/>
    </row>
    <row r="44" spans="1:14" ht="12.75">
      <c r="A44" s="64" t="s">
        <v>315</v>
      </c>
      <c r="B44" s="64" t="s">
        <v>86</v>
      </c>
      <c r="C44" s="67" t="s">
        <v>435</v>
      </c>
      <c r="D44" s="67">
        <v>800</v>
      </c>
      <c r="E44" s="69" t="s">
        <v>194</v>
      </c>
      <c r="F44" s="68"/>
      <c r="G44" s="68"/>
      <c r="H44" s="68"/>
      <c r="I44" s="68">
        <v>9385.64</v>
      </c>
      <c r="J44" s="68">
        <v>9385.64</v>
      </c>
      <c r="K44" s="68"/>
      <c r="L44" s="68">
        <f t="shared" si="1"/>
        <v>9385.64</v>
      </c>
      <c r="M44" s="68"/>
      <c r="N44" s="179"/>
    </row>
    <row r="45" spans="1:14" s="181" customFormat="1" ht="12.75">
      <c r="A45" s="66" t="s">
        <v>315</v>
      </c>
      <c r="B45" s="66" t="s">
        <v>88</v>
      </c>
      <c r="C45" s="171"/>
      <c r="D45" s="171"/>
      <c r="E45" s="73" t="s">
        <v>89</v>
      </c>
      <c r="F45" s="72">
        <f aca="true" t="shared" si="4" ref="F45:G47">F46</f>
        <v>389318</v>
      </c>
      <c r="G45" s="72">
        <f t="shared" si="4"/>
        <v>389318</v>
      </c>
      <c r="H45" s="72">
        <f>(G45/F45)*100</f>
        <v>100</v>
      </c>
      <c r="I45" s="72">
        <f>I46</f>
        <v>0</v>
      </c>
      <c r="J45" s="72"/>
      <c r="K45" s="72">
        <v>0</v>
      </c>
      <c r="L45" s="72">
        <f t="shared" si="1"/>
        <v>389318</v>
      </c>
      <c r="M45" s="72">
        <f t="shared" si="2"/>
        <v>389318</v>
      </c>
      <c r="N45" s="180">
        <f t="shared" si="3"/>
        <v>100</v>
      </c>
    </row>
    <row r="46" spans="1:14" s="181" customFormat="1" ht="12.75">
      <c r="A46" s="66" t="s">
        <v>315</v>
      </c>
      <c r="B46" s="66" t="s">
        <v>90</v>
      </c>
      <c r="C46" s="171"/>
      <c r="D46" s="171"/>
      <c r="E46" s="73" t="s">
        <v>91</v>
      </c>
      <c r="F46" s="72">
        <f t="shared" si="4"/>
        <v>389318</v>
      </c>
      <c r="G46" s="72">
        <f t="shared" si="4"/>
        <v>389318</v>
      </c>
      <c r="H46" s="72">
        <f>(G46/F46)*100</f>
        <v>100</v>
      </c>
      <c r="I46" s="72">
        <f>I47</f>
        <v>0</v>
      </c>
      <c r="J46" s="72"/>
      <c r="K46" s="72">
        <v>0</v>
      </c>
      <c r="L46" s="72">
        <f t="shared" si="1"/>
        <v>389318</v>
      </c>
      <c r="M46" s="72">
        <f t="shared" si="2"/>
        <v>389318</v>
      </c>
      <c r="N46" s="180">
        <f t="shared" si="3"/>
        <v>100</v>
      </c>
    </row>
    <row r="47" spans="1:14" ht="22.5">
      <c r="A47" s="64" t="s">
        <v>315</v>
      </c>
      <c r="B47" s="64" t="s">
        <v>90</v>
      </c>
      <c r="C47" s="67" t="s">
        <v>332</v>
      </c>
      <c r="D47" s="67"/>
      <c r="E47" s="69" t="s">
        <v>308</v>
      </c>
      <c r="F47" s="68">
        <f t="shared" si="4"/>
        <v>389318</v>
      </c>
      <c r="G47" s="68">
        <f t="shared" si="4"/>
        <v>389318</v>
      </c>
      <c r="H47" s="68">
        <f>(G47/F47)*100</f>
        <v>100</v>
      </c>
      <c r="I47" s="68">
        <f>I48</f>
        <v>0</v>
      </c>
      <c r="J47" s="68"/>
      <c r="K47" s="68">
        <v>0</v>
      </c>
      <c r="L47" s="68">
        <f t="shared" si="1"/>
        <v>389318</v>
      </c>
      <c r="M47" s="68">
        <f t="shared" si="2"/>
        <v>389318</v>
      </c>
      <c r="N47" s="179">
        <f t="shared" si="3"/>
        <v>100</v>
      </c>
    </row>
    <row r="48" spans="1:14" ht="33.75">
      <c r="A48" s="64" t="s">
        <v>315</v>
      </c>
      <c r="B48" s="64" t="s">
        <v>90</v>
      </c>
      <c r="C48" s="67" t="s">
        <v>332</v>
      </c>
      <c r="D48" s="67">
        <v>100</v>
      </c>
      <c r="E48" s="69" t="s">
        <v>320</v>
      </c>
      <c r="F48" s="68">
        <v>389318</v>
      </c>
      <c r="G48" s="68">
        <v>389318</v>
      </c>
      <c r="H48" s="68">
        <f>(G48/F48)*100</f>
        <v>100</v>
      </c>
      <c r="I48" s="68">
        <v>0</v>
      </c>
      <c r="J48" s="68"/>
      <c r="K48" s="68">
        <v>0</v>
      </c>
      <c r="L48" s="68">
        <f t="shared" si="1"/>
        <v>389318</v>
      </c>
      <c r="M48" s="68">
        <f t="shared" si="2"/>
        <v>389318</v>
      </c>
      <c r="N48" s="179">
        <f t="shared" si="3"/>
        <v>100</v>
      </c>
    </row>
    <row r="49" spans="1:14" s="181" customFormat="1" ht="12.75">
      <c r="A49" s="66" t="s">
        <v>315</v>
      </c>
      <c r="B49" s="70" t="s">
        <v>333</v>
      </c>
      <c r="C49" s="172"/>
      <c r="D49" s="172"/>
      <c r="E49" s="73" t="s">
        <v>334</v>
      </c>
      <c r="F49" s="72">
        <f>F53</f>
        <v>0</v>
      </c>
      <c r="G49" s="72"/>
      <c r="H49" s="72"/>
      <c r="I49" s="72">
        <f>I50+I53+I56</f>
        <v>99550</v>
      </c>
      <c r="J49" s="72">
        <f>J50+J53+J56</f>
        <v>99550</v>
      </c>
      <c r="K49" s="72">
        <f t="shared" si="0"/>
        <v>100</v>
      </c>
      <c r="L49" s="72">
        <f t="shared" si="1"/>
        <v>99550</v>
      </c>
      <c r="M49" s="72">
        <f t="shared" si="2"/>
        <v>99550</v>
      </c>
      <c r="N49" s="180">
        <f t="shared" si="3"/>
        <v>100</v>
      </c>
    </row>
    <row r="50" spans="1:14" s="181" customFormat="1" ht="25.5">
      <c r="A50" s="66" t="s">
        <v>315</v>
      </c>
      <c r="B50" s="70" t="s">
        <v>94</v>
      </c>
      <c r="C50" s="172"/>
      <c r="D50" s="172"/>
      <c r="E50" s="73" t="s">
        <v>95</v>
      </c>
      <c r="F50" s="72"/>
      <c r="G50" s="72"/>
      <c r="H50" s="72"/>
      <c r="I50" s="72">
        <f>I51</f>
        <v>0</v>
      </c>
      <c r="J50" s="72">
        <f>J51</f>
        <v>0</v>
      </c>
      <c r="K50" s="72">
        <v>0</v>
      </c>
      <c r="L50" s="72">
        <f t="shared" si="1"/>
        <v>0</v>
      </c>
      <c r="M50" s="72">
        <f t="shared" si="2"/>
        <v>0</v>
      </c>
      <c r="N50" s="180">
        <v>0</v>
      </c>
    </row>
    <row r="51" spans="1:14" ht="38.25">
      <c r="A51" s="64" t="s">
        <v>315</v>
      </c>
      <c r="B51" s="74" t="s">
        <v>94</v>
      </c>
      <c r="C51" s="75" t="s">
        <v>335</v>
      </c>
      <c r="D51" s="75"/>
      <c r="E51" s="71" t="s">
        <v>336</v>
      </c>
      <c r="F51" s="68"/>
      <c r="G51" s="68"/>
      <c r="H51" s="68"/>
      <c r="I51" s="68">
        <f>I52</f>
        <v>0</v>
      </c>
      <c r="J51" s="68">
        <f>J52</f>
        <v>0</v>
      </c>
      <c r="K51" s="68">
        <v>0</v>
      </c>
      <c r="L51" s="68">
        <f t="shared" si="1"/>
        <v>0</v>
      </c>
      <c r="M51" s="68">
        <f t="shared" si="2"/>
        <v>0</v>
      </c>
      <c r="N51" s="179">
        <v>0</v>
      </c>
    </row>
    <row r="52" spans="1:14" ht="12.75">
      <c r="A52" s="64" t="s">
        <v>315</v>
      </c>
      <c r="B52" s="74" t="s">
        <v>94</v>
      </c>
      <c r="C52" s="75" t="s">
        <v>335</v>
      </c>
      <c r="D52" s="67">
        <v>200</v>
      </c>
      <c r="E52" s="69" t="s">
        <v>246</v>
      </c>
      <c r="F52" s="68"/>
      <c r="G52" s="68"/>
      <c r="H52" s="68"/>
      <c r="I52" s="68"/>
      <c r="J52" s="68">
        <v>0</v>
      </c>
      <c r="K52" s="68">
        <v>0</v>
      </c>
      <c r="L52" s="68">
        <f t="shared" si="1"/>
        <v>0</v>
      </c>
      <c r="M52" s="68">
        <f t="shared" si="2"/>
        <v>0</v>
      </c>
      <c r="N52" s="179">
        <v>0</v>
      </c>
    </row>
    <row r="53" spans="1:14" s="181" customFormat="1" ht="12.75">
      <c r="A53" s="66" t="s">
        <v>315</v>
      </c>
      <c r="B53" s="66" t="s">
        <v>96</v>
      </c>
      <c r="C53" s="172"/>
      <c r="D53" s="172"/>
      <c r="E53" s="73" t="s">
        <v>97</v>
      </c>
      <c r="F53" s="72">
        <f>F54</f>
        <v>0</v>
      </c>
      <c r="G53" s="72"/>
      <c r="H53" s="72"/>
      <c r="I53" s="72">
        <f>I54</f>
        <v>0</v>
      </c>
      <c r="J53" s="72">
        <f>J54</f>
        <v>0</v>
      </c>
      <c r="K53" s="72">
        <v>0</v>
      </c>
      <c r="L53" s="72">
        <f t="shared" si="1"/>
        <v>0</v>
      </c>
      <c r="M53" s="72">
        <f t="shared" si="2"/>
        <v>0</v>
      </c>
      <c r="N53" s="180">
        <v>0</v>
      </c>
    </row>
    <row r="54" spans="1:14" ht="38.25">
      <c r="A54" s="64" t="s">
        <v>315</v>
      </c>
      <c r="B54" s="64" t="s">
        <v>96</v>
      </c>
      <c r="C54" s="75" t="s">
        <v>335</v>
      </c>
      <c r="D54" s="75"/>
      <c r="E54" s="71" t="s">
        <v>336</v>
      </c>
      <c r="F54" s="68">
        <f>F55</f>
        <v>0</v>
      </c>
      <c r="G54" s="68"/>
      <c r="H54" s="68"/>
      <c r="I54" s="68">
        <f>I55</f>
        <v>0</v>
      </c>
      <c r="J54" s="68">
        <f>J55</f>
        <v>0</v>
      </c>
      <c r="K54" s="68">
        <v>0</v>
      </c>
      <c r="L54" s="68">
        <f t="shared" si="1"/>
        <v>0</v>
      </c>
      <c r="M54" s="68">
        <f t="shared" si="2"/>
        <v>0</v>
      </c>
      <c r="N54" s="179">
        <v>0</v>
      </c>
    </row>
    <row r="55" spans="1:14" ht="12.75">
      <c r="A55" s="64" t="s">
        <v>315</v>
      </c>
      <c r="B55" s="64" t="s">
        <v>96</v>
      </c>
      <c r="C55" s="75" t="s">
        <v>335</v>
      </c>
      <c r="D55" s="67">
        <v>200</v>
      </c>
      <c r="E55" s="69" t="s">
        <v>246</v>
      </c>
      <c r="F55" s="68">
        <v>0</v>
      </c>
      <c r="G55" s="68"/>
      <c r="H55" s="68"/>
      <c r="I55" s="68"/>
      <c r="J55" s="68">
        <v>0</v>
      </c>
      <c r="K55" s="68">
        <v>0</v>
      </c>
      <c r="L55" s="68">
        <f t="shared" si="1"/>
        <v>0</v>
      </c>
      <c r="M55" s="68">
        <f t="shared" si="2"/>
        <v>0</v>
      </c>
      <c r="N55" s="179">
        <v>0</v>
      </c>
    </row>
    <row r="56" spans="1:14" s="181" customFormat="1" ht="12.75">
      <c r="A56" s="66" t="s">
        <v>315</v>
      </c>
      <c r="B56" s="66" t="s">
        <v>98</v>
      </c>
      <c r="C56" s="172" t="s">
        <v>337</v>
      </c>
      <c r="D56" s="184"/>
      <c r="E56" s="185" t="s">
        <v>302</v>
      </c>
      <c r="F56" s="72"/>
      <c r="G56" s="72"/>
      <c r="H56" s="72"/>
      <c r="I56" s="72">
        <f>I57+I58</f>
        <v>99550</v>
      </c>
      <c r="J56" s="72">
        <f>J57+J58</f>
        <v>99550</v>
      </c>
      <c r="K56" s="72">
        <f t="shared" si="0"/>
        <v>100</v>
      </c>
      <c r="L56" s="72">
        <f t="shared" si="1"/>
        <v>99550</v>
      </c>
      <c r="M56" s="72">
        <f t="shared" si="2"/>
        <v>99550</v>
      </c>
      <c r="N56" s="180">
        <f t="shared" si="3"/>
        <v>100</v>
      </c>
    </row>
    <row r="57" spans="1:14" ht="33.75">
      <c r="A57" s="64" t="s">
        <v>315</v>
      </c>
      <c r="B57" s="64" t="s">
        <v>98</v>
      </c>
      <c r="C57" s="75" t="s">
        <v>337</v>
      </c>
      <c r="D57" s="67">
        <v>100</v>
      </c>
      <c r="E57" s="69" t="s">
        <v>320</v>
      </c>
      <c r="F57" s="68"/>
      <c r="G57" s="68"/>
      <c r="H57" s="68"/>
      <c r="I57" s="68">
        <v>90550</v>
      </c>
      <c r="J57" s="68">
        <v>90550</v>
      </c>
      <c r="K57" s="68">
        <f t="shared" si="0"/>
        <v>100</v>
      </c>
      <c r="L57" s="68">
        <f t="shared" si="1"/>
        <v>90550</v>
      </c>
      <c r="M57" s="68">
        <f t="shared" si="2"/>
        <v>90550</v>
      </c>
      <c r="N57" s="179">
        <f t="shared" si="3"/>
        <v>100</v>
      </c>
    </row>
    <row r="58" spans="1:14" ht="12.75">
      <c r="A58" s="64" t="s">
        <v>315</v>
      </c>
      <c r="B58" s="64" t="s">
        <v>98</v>
      </c>
      <c r="C58" s="75" t="s">
        <v>337</v>
      </c>
      <c r="D58" s="67">
        <v>200</v>
      </c>
      <c r="E58" s="69" t="s">
        <v>246</v>
      </c>
      <c r="F58" s="68"/>
      <c r="G58" s="68"/>
      <c r="H58" s="68"/>
      <c r="I58" s="68">
        <v>9000</v>
      </c>
      <c r="J58" s="68">
        <v>9000</v>
      </c>
      <c r="K58" s="68">
        <f t="shared" si="0"/>
        <v>100</v>
      </c>
      <c r="L58" s="68">
        <f t="shared" si="1"/>
        <v>9000</v>
      </c>
      <c r="M58" s="68">
        <f t="shared" si="2"/>
        <v>9000</v>
      </c>
      <c r="N58" s="179">
        <f t="shared" si="3"/>
        <v>100</v>
      </c>
    </row>
    <row r="59" spans="1:14" s="181" customFormat="1" ht="12.75">
      <c r="A59" s="66" t="s">
        <v>315</v>
      </c>
      <c r="B59" s="70" t="s">
        <v>100</v>
      </c>
      <c r="C59" s="172"/>
      <c r="D59" s="172"/>
      <c r="E59" s="73" t="s">
        <v>101</v>
      </c>
      <c r="F59" s="72">
        <f>F63</f>
        <v>3200268.3</v>
      </c>
      <c r="G59" s="72">
        <f>G63</f>
        <v>3127989.36</v>
      </c>
      <c r="H59" s="72">
        <f>(G59/F59)*100</f>
        <v>97.74147248841605</v>
      </c>
      <c r="I59" s="72">
        <f>I60+I63</f>
        <v>6123550.970000001</v>
      </c>
      <c r="J59" s="72">
        <f>J60+J63</f>
        <v>4302544.5200000005</v>
      </c>
      <c r="K59" s="72">
        <f t="shared" si="0"/>
        <v>70.26224720066305</v>
      </c>
      <c r="L59" s="72">
        <f t="shared" si="1"/>
        <v>9323819.27</v>
      </c>
      <c r="M59" s="72">
        <f t="shared" si="2"/>
        <v>7430533.880000001</v>
      </c>
      <c r="N59" s="180">
        <f t="shared" si="3"/>
        <v>79.69410029115677</v>
      </c>
    </row>
    <row r="60" spans="1:14" s="181" customFormat="1" ht="12.75">
      <c r="A60" s="66" t="s">
        <v>315</v>
      </c>
      <c r="B60" s="70" t="s">
        <v>102</v>
      </c>
      <c r="C60" s="172"/>
      <c r="D60" s="172"/>
      <c r="E60" s="73" t="s">
        <v>103</v>
      </c>
      <c r="F60" s="72"/>
      <c r="G60" s="72"/>
      <c r="H60" s="72"/>
      <c r="I60" s="72">
        <f>I61</f>
        <v>41760</v>
      </c>
      <c r="J60" s="72">
        <f>J61</f>
        <v>41760</v>
      </c>
      <c r="K60" s="72">
        <f t="shared" si="0"/>
        <v>100</v>
      </c>
      <c r="L60" s="72">
        <f t="shared" si="1"/>
        <v>41760</v>
      </c>
      <c r="M60" s="72">
        <f t="shared" si="2"/>
        <v>41760</v>
      </c>
      <c r="N60" s="180">
        <f t="shared" si="3"/>
        <v>100</v>
      </c>
    </row>
    <row r="61" spans="1:14" ht="12.75">
      <c r="A61" s="64" t="s">
        <v>315</v>
      </c>
      <c r="B61" s="74" t="s">
        <v>102</v>
      </c>
      <c r="C61" s="75" t="s">
        <v>338</v>
      </c>
      <c r="D61" s="75"/>
      <c r="E61" s="71" t="s">
        <v>236</v>
      </c>
      <c r="F61" s="68"/>
      <c r="G61" s="68"/>
      <c r="H61" s="68"/>
      <c r="I61" s="68">
        <f>I62</f>
        <v>41760</v>
      </c>
      <c r="J61" s="68">
        <f>J62</f>
        <v>41760</v>
      </c>
      <c r="K61" s="68">
        <f t="shared" si="0"/>
        <v>100</v>
      </c>
      <c r="L61" s="68">
        <f t="shared" si="1"/>
        <v>41760</v>
      </c>
      <c r="M61" s="68">
        <f t="shared" si="2"/>
        <v>41760</v>
      </c>
      <c r="N61" s="179">
        <f t="shared" si="3"/>
        <v>100</v>
      </c>
    </row>
    <row r="62" spans="1:14" ht="12.75">
      <c r="A62" s="64" t="s">
        <v>315</v>
      </c>
      <c r="B62" s="74" t="s">
        <v>102</v>
      </c>
      <c r="C62" s="75" t="s">
        <v>338</v>
      </c>
      <c r="D62" s="67">
        <v>200</v>
      </c>
      <c r="E62" s="69" t="s">
        <v>246</v>
      </c>
      <c r="F62" s="68"/>
      <c r="G62" s="68"/>
      <c r="H62" s="68"/>
      <c r="I62" s="68">
        <v>41760</v>
      </c>
      <c r="J62" s="68">
        <v>41760</v>
      </c>
      <c r="K62" s="68">
        <f t="shared" si="0"/>
        <v>100</v>
      </c>
      <c r="L62" s="68">
        <f t="shared" si="1"/>
        <v>41760</v>
      </c>
      <c r="M62" s="68">
        <f t="shared" si="2"/>
        <v>41760</v>
      </c>
      <c r="N62" s="179">
        <f t="shared" si="3"/>
        <v>100</v>
      </c>
    </row>
    <row r="63" spans="1:14" ht="12.75">
      <c r="A63" s="64" t="s">
        <v>315</v>
      </c>
      <c r="B63" s="70" t="s">
        <v>104</v>
      </c>
      <c r="C63" s="75"/>
      <c r="D63" s="75"/>
      <c r="E63" s="77" t="s">
        <v>105</v>
      </c>
      <c r="F63" s="72">
        <f>F64+F66+F68+F70+F72</f>
        <v>3200268.3</v>
      </c>
      <c r="G63" s="72">
        <f>G66+G70+G72</f>
        <v>3127989.36</v>
      </c>
      <c r="H63" s="72">
        <f>(G63/F63)*100</f>
        <v>97.74147248841605</v>
      </c>
      <c r="I63" s="72">
        <f>I64+I68+I70+I74</f>
        <v>6081790.970000001</v>
      </c>
      <c r="J63" s="72">
        <f>J64+J70+J74</f>
        <v>4260784.5200000005</v>
      </c>
      <c r="K63" s="72">
        <f t="shared" si="0"/>
        <v>70.05805594137347</v>
      </c>
      <c r="L63" s="72">
        <f>F63+I63</f>
        <v>9282059.27</v>
      </c>
      <c r="M63" s="72">
        <f t="shared" si="2"/>
        <v>7388773.880000001</v>
      </c>
      <c r="N63" s="179">
        <f t="shared" si="3"/>
        <v>79.60274401479879</v>
      </c>
    </row>
    <row r="64" spans="1:14" ht="22.5">
      <c r="A64" s="64" t="s">
        <v>315</v>
      </c>
      <c r="B64" s="74" t="s">
        <v>104</v>
      </c>
      <c r="C64" s="67" t="s">
        <v>339</v>
      </c>
      <c r="D64" s="67"/>
      <c r="E64" s="69" t="s">
        <v>280</v>
      </c>
      <c r="F64" s="68"/>
      <c r="G64" s="68"/>
      <c r="H64" s="68"/>
      <c r="I64" s="68">
        <f>I65</f>
        <v>5911980.07</v>
      </c>
      <c r="J64" s="68">
        <f>J65</f>
        <v>4090973.77</v>
      </c>
      <c r="K64" s="68">
        <f t="shared" si="0"/>
        <v>69.19803046629688</v>
      </c>
      <c r="L64" s="68">
        <f t="shared" si="1"/>
        <v>5911980.07</v>
      </c>
      <c r="M64" s="68">
        <f t="shared" si="2"/>
        <v>4090973.77</v>
      </c>
      <c r="N64" s="179">
        <f t="shared" si="3"/>
        <v>69.19803046629688</v>
      </c>
    </row>
    <row r="65" spans="1:14" ht="12.75">
      <c r="A65" s="64" t="s">
        <v>315</v>
      </c>
      <c r="B65" s="74" t="s">
        <v>104</v>
      </c>
      <c r="C65" s="67" t="s">
        <v>339</v>
      </c>
      <c r="D65" s="67">
        <v>200</v>
      </c>
      <c r="E65" s="69" t="s">
        <v>246</v>
      </c>
      <c r="F65" s="68"/>
      <c r="G65" s="68"/>
      <c r="H65" s="68"/>
      <c r="I65" s="68">
        <v>5911980.07</v>
      </c>
      <c r="J65" s="68">
        <v>4090973.77</v>
      </c>
      <c r="K65" s="68">
        <f t="shared" si="0"/>
        <v>69.19803046629688</v>
      </c>
      <c r="L65" s="68">
        <f t="shared" si="1"/>
        <v>5911980.07</v>
      </c>
      <c r="M65" s="68">
        <f t="shared" si="2"/>
        <v>4090973.77</v>
      </c>
      <c r="N65" s="179">
        <f t="shared" si="3"/>
        <v>69.19803046629688</v>
      </c>
    </row>
    <row r="66" spans="1:14" ht="12.75">
      <c r="A66" s="64" t="s">
        <v>315</v>
      </c>
      <c r="B66" s="74" t="s">
        <v>104</v>
      </c>
      <c r="C66" s="67" t="s">
        <v>340</v>
      </c>
      <c r="D66" s="67"/>
      <c r="E66" s="69" t="s">
        <v>282</v>
      </c>
      <c r="F66" s="68">
        <f>F67</f>
        <v>1046583.3</v>
      </c>
      <c r="G66" s="68">
        <f>G67</f>
        <v>1007342.42</v>
      </c>
      <c r="H66" s="68">
        <f>(G66/F66)*100</f>
        <v>96.25057269688901</v>
      </c>
      <c r="I66" s="68">
        <v>0</v>
      </c>
      <c r="J66" s="68"/>
      <c r="K66" s="68"/>
      <c r="L66" s="68">
        <f t="shared" si="1"/>
        <v>1046583.3</v>
      </c>
      <c r="M66" s="68">
        <f t="shared" si="2"/>
        <v>1007342.42</v>
      </c>
      <c r="N66" s="179">
        <f t="shared" si="3"/>
        <v>96.25057269688901</v>
      </c>
    </row>
    <row r="67" spans="1:14" ht="12.75">
      <c r="A67" s="64" t="s">
        <v>315</v>
      </c>
      <c r="B67" s="74" t="s">
        <v>104</v>
      </c>
      <c r="C67" s="67" t="s">
        <v>340</v>
      </c>
      <c r="D67" s="67">
        <v>200</v>
      </c>
      <c r="E67" s="69" t="s">
        <v>246</v>
      </c>
      <c r="F67" s="68">
        <v>1046583.3</v>
      </c>
      <c r="G67" s="68">
        <v>1007342.42</v>
      </c>
      <c r="H67" s="68">
        <f>(G67/F67)*100</f>
        <v>96.25057269688901</v>
      </c>
      <c r="I67" s="68">
        <v>0</v>
      </c>
      <c r="J67" s="68"/>
      <c r="K67" s="68"/>
      <c r="L67" s="68">
        <f t="shared" si="1"/>
        <v>1046583.3</v>
      </c>
      <c r="M67" s="68">
        <f t="shared" si="2"/>
        <v>1007342.42</v>
      </c>
      <c r="N67" s="179">
        <f t="shared" si="3"/>
        <v>96.25057269688901</v>
      </c>
    </row>
    <row r="68" spans="1:14" ht="12.75">
      <c r="A68" s="64" t="s">
        <v>315</v>
      </c>
      <c r="B68" s="74" t="s">
        <v>104</v>
      </c>
      <c r="C68" s="67" t="s">
        <v>341</v>
      </c>
      <c r="D68" s="67"/>
      <c r="E68" s="69" t="s">
        <v>286</v>
      </c>
      <c r="F68" s="68"/>
      <c r="G68" s="68"/>
      <c r="H68" s="68"/>
      <c r="I68" s="68">
        <f>I69</f>
        <v>0</v>
      </c>
      <c r="J68" s="68"/>
      <c r="K68" s="68">
        <v>0</v>
      </c>
      <c r="L68" s="68">
        <f t="shared" si="1"/>
        <v>0</v>
      </c>
      <c r="M68" s="68">
        <f t="shared" si="2"/>
        <v>0</v>
      </c>
      <c r="N68" s="179">
        <v>0</v>
      </c>
    </row>
    <row r="69" spans="1:14" ht="12.75">
      <c r="A69" s="64" t="s">
        <v>315</v>
      </c>
      <c r="B69" s="74" t="s">
        <v>104</v>
      </c>
      <c r="C69" s="67" t="s">
        <v>341</v>
      </c>
      <c r="D69" s="67">
        <v>200</v>
      </c>
      <c r="E69" s="69" t="s">
        <v>246</v>
      </c>
      <c r="F69" s="68"/>
      <c r="G69" s="68"/>
      <c r="H69" s="68"/>
      <c r="I69" s="68">
        <v>0</v>
      </c>
      <c r="J69" s="68"/>
      <c r="K69" s="68">
        <v>0</v>
      </c>
      <c r="L69" s="68">
        <f t="shared" si="1"/>
        <v>0</v>
      </c>
      <c r="M69" s="68">
        <f t="shared" si="2"/>
        <v>0</v>
      </c>
      <c r="N69" s="179">
        <v>0</v>
      </c>
    </row>
    <row r="70" spans="1:14" ht="12.75">
      <c r="A70" s="64" t="s">
        <v>315</v>
      </c>
      <c r="B70" s="74" t="s">
        <v>104</v>
      </c>
      <c r="C70" s="67" t="s">
        <v>414</v>
      </c>
      <c r="D70" s="76"/>
      <c r="E70" s="69" t="s">
        <v>415</v>
      </c>
      <c r="F70" s="68">
        <f>F71</f>
        <v>1953685</v>
      </c>
      <c r="G70" s="68">
        <f>G71</f>
        <v>1923646.94</v>
      </c>
      <c r="H70" s="68">
        <f>(G70/F70)*100</f>
        <v>98.46249216224724</v>
      </c>
      <c r="I70" s="68">
        <f>I71</f>
        <v>101245.19</v>
      </c>
      <c r="J70" s="68">
        <f>J71</f>
        <v>101245.04</v>
      </c>
      <c r="K70" s="68"/>
      <c r="L70" s="68">
        <f>L71</f>
        <v>1953685</v>
      </c>
      <c r="M70" s="68"/>
      <c r="N70" s="179"/>
    </row>
    <row r="71" spans="1:14" ht="12.75">
      <c r="A71" s="64" t="s">
        <v>315</v>
      </c>
      <c r="B71" s="74" t="s">
        <v>104</v>
      </c>
      <c r="C71" s="67" t="s">
        <v>414</v>
      </c>
      <c r="D71" s="67">
        <v>200</v>
      </c>
      <c r="E71" s="69" t="s">
        <v>246</v>
      </c>
      <c r="F71" s="68">
        <f>1037313+916372</f>
        <v>1953685</v>
      </c>
      <c r="G71" s="68">
        <f>1021364.51+902282.43</f>
        <v>1923646.94</v>
      </c>
      <c r="H71" s="68">
        <f>(G71/F71)*100</f>
        <v>98.46249216224724</v>
      </c>
      <c r="I71" s="68">
        <v>101245.19</v>
      </c>
      <c r="J71" s="68">
        <v>101245.04</v>
      </c>
      <c r="K71" s="68"/>
      <c r="L71" s="68">
        <f>F71</f>
        <v>1953685</v>
      </c>
      <c r="M71" s="68"/>
      <c r="N71" s="179"/>
    </row>
    <row r="72" spans="1:14" ht="33.75">
      <c r="A72" s="64" t="s">
        <v>315</v>
      </c>
      <c r="B72" s="74" t="s">
        <v>104</v>
      </c>
      <c r="C72" s="76" t="s">
        <v>432</v>
      </c>
      <c r="D72" s="76"/>
      <c r="E72" s="69" t="s">
        <v>431</v>
      </c>
      <c r="F72" s="68">
        <f>F73</f>
        <v>200000</v>
      </c>
      <c r="G72" s="68">
        <f>G73</f>
        <v>197000</v>
      </c>
      <c r="H72" s="68">
        <f>(G72/F72)*100</f>
        <v>98.5</v>
      </c>
      <c r="I72" s="68"/>
      <c r="J72" s="68"/>
      <c r="K72" s="68"/>
      <c r="L72" s="68"/>
      <c r="M72" s="68"/>
      <c r="N72" s="179"/>
    </row>
    <row r="73" spans="1:14" ht="12.75">
      <c r="A73" s="64" t="s">
        <v>315</v>
      </c>
      <c r="B73" s="74" t="s">
        <v>104</v>
      </c>
      <c r="C73" s="76" t="s">
        <v>432</v>
      </c>
      <c r="D73" s="67">
        <v>200</v>
      </c>
      <c r="E73" s="69" t="s">
        <v>246</v>
      </c>
      <c r="F73" s="68">
        <v>200000</v>
      </c>
      <c r="G73" s="68">
        <v>197000</v>
      </c>
      <c r="H73" s="68"/>
      <c r="I73" s="68"/>
      <c r="J73" s="68"/>
      <c r="K73" s="68"/>
      <c r="L73" s="68"/>
      <c r="M73" s="68"/>
      <c r="N73" s="179"/>
    </row>
    <row r="74" spans="1:14" ht="12.75">
      <c r="A74" s="64" t="s">
        <v>315</v>
      </c>
      <c r="B74" s="74" t="s">
        <v>104</v>
      </c>
      <c r="C74" s="76" t="s">
        <v>436</v>
      </c>
      <c r="D74" s="76"/>
      <c r="E74" s="69" t="s">
        <v>448</v>
      </c>
      <c r="F74" s="68"/>
      <c r="G74" s="68"/>
      <c r="H74" s="68"/>
      <c r="I74" s="68">
        <f>I75</f>
        <v>68565.71</v>
      </c>
      <c r="J74" s="68">
        <f>J75</f>
        <v>68565.71</v>
      </c>
      <c r="K74" s="68"/>
      <c r="L74" s="68"/>
      <c r="M74" s="68"/>
      <c r="N74" s="179"/>
    </row>
    <row r="75" spans="1:14" ht="12.75">
      <c r="A75" s="64" t="s">
        <v>315</v>
      </c>
      <c r="B75" s="74" t="s">
        <v>104</v>
      </c>
      <c r="C75" s="76" t="s">
        <v>436</v>
      </c>
      <c r="D75" s="76">
        <v>200</v>
      </c>
      <c r="E75" s="69" t="s">
        <v>246</v>
      </c>
      <c r="F75" s="68"/>
      <c r="G75" s="68"/>
      <c r="H75" s="68"/>
      <c r="I75" s="68">
        <v>68565.71</v>
      </c>
      <c r="J75" s="68">
        <v>68565.71</v>
      </c>
      <c r="K75" s="68"/>
      <c r="L75" s="68"/>
      <c r="M75" s="68"/>
      <c r="N75" s="179"/>
    </row>
    <row r="76" spans="1:14" s="181" customFormat="1" ht="12.75">
      <c r="A76" s="66" t="s">
        <v>315</v>
      </c>
      <c r="B76" s="70" t="s">
        <v>106</v>
      </c>
      <c r="C76" s="172"/>
      <c r="D76" s="172"/>
      <c r="E76" s="73" t="s">
        <v>107</v>
      </c>
      <c r="F76" s="72">
        <f>F77+F83+F92+F107</f>
        <v>1760850.23</v>
      </c>
      <c r="G76" s="72">
        <f>G83+G92+G107</f>
        <v>1163698.94</v>
      </c>
      <c r="H76" s="72">
        <f>(G76/F76)*100</f>
        <v>66.08733214067843</v>
      </c>
      <c r="I76" s="72">
        <f>I77+I83+I92+I107</f>
        <v>19720285.5</v>
      </c>
      <c r="J76" s="72">
        <f>J77+J83+J92+J107</f>
        <v>19316443.02</v>
      </c>
      <c r="K76" s="72">
        <f t="shared" si="0"/>
        <v>97.95214688955694</v>
      </c>
      <c r="L76" s="72">
        <f t="shared" si="1"/>
        <v>21481135.73</v>
      </c>
      <c r="M76" s="72">
        <f t="shared" si="2"/>
        <v>20480141.96</v>
      </c>
      <c r="N76" s="180">
        <f t="shared" si="3"/>
        <v>95.34012641332535</v>
      </c>
    </row>
    <row r="77" spans="1:14" s="181" customFormat="1" ht="12.75">
      <c r="A77" s="66" t="s">
        <v>315</v>
      </c>
      <c r="B77" s="70" t="s">
        <v>108</v>
      </c>
      <c r="C77" s="172"/>
      <c r="D77" s="172"/>
      <c r="E77" s="80" t="s">
        <v>109</v>
      </c>
      <c r="F77" s="72">
        <f>F78</f>
        <v>0</v>
      </c>
      <c r="G77" s="72"/>
      <c r="H77" s="72"/>
      <c r="I77" s="72">
        <f>I78+I80</f>
        <v>2173905.67</v>
      </c>
      <c r="J77" s="72">
        <f>J78+J80</f>
        <v>2173905.67</v>
      </c>
      <c r="K77" s="72">
        <f t="shared" si="0"/>
        <v>100</v>
      </c>
      <c r="L77" s="72">
        <f t="shared" si="1"/>
        <v>2173905.67</v>
      </c>
      <c r="M77" s="72">
        <f t="shared" si="2"/>
        <v>2173905.67</v>
      </c>
      <c r="N77" s="180">
        <f t="shared" si="3"/>
        <v>100</v>
      </c>
    </row>
    <row r="78" spans="1:14" ht="22.5">
      <c r="A78" s="64" t="s">
        <v>315</v>
      </c>
      <c r="B78" s="74" t="s">
        <v>108</v>
      </c>
      <c r="C78" s="67" t="s">
        <v>342</v>
      </c>
      <c r="D78" s="67"/>
      <c r="E78" s="69" t="s">
        <v>224</v>
      </c>
      <c r="F78" s="68"/>
      <c r="G78" s="68"/>
      <c r="H78" s="68"/>
      <c r="I78" s="68">
        <f>I79</f>
        <v>1738765.37</v>
      </c>
      <c r="J78" s="68">
        <f>J79</f>
        <v>1738765.37</v>
      </c>
      <c r="K78" s="68">
        <f t="shared" si="0"/>
        <v>100</v>
      </c>
      <c r="L78" s="68">
        <f t="shared" si="1"/>
        <v>1738765.37</v>
      </c>
      <c r="M78" s="68">
        <f t="shared" si="2"/>
        <v>1738765.37</v>
      </c>
      <c r="N78" s="179">
        <f t="shared" si="3"/>
        <v>100</v>
      </c>
    </row>
    <row r="79" spans="1:14" ht="12.75">
      <c r="A79" s="64" t="s">
        <v>315</v>
      </c>
      <c r="B79" s="74" t="s">
        <v>108</v>
      </c>
      <c r="C79" s="67" t="s">
        <v>342</v>
      </c>
      <c r="D79" s="67">
        <v>200</v>
      </c>
      <c r="E79" s="69" t="s">
        <v>246</v>
      </c>
      <c r="F79" s="68"/>
      <c r="G79" s="68"/>
      <c r="H79" s="68"/>
      <c r="I79" s="68">
        <f>1738765.37</f>
        <v>1738765.37</v>
      </c>
      <c r="J79" s="68">
        <v>1738765.37</v>
      </c>
      <c r="K79" s="68">
        <f t="shared" si="0"/>
        <v>100</v>
      </c>
      <c r="L79" s="68">
        <f t="shared" si="1"/>
        <v>1738765.37</v>
      </c>
      <c r="M79" s="68">
        <f t="shared" si="2"/>
        <v>1738765.37</v>
      </c>
      <c r="N79" s="179">
        <f t="shared" si="3"/>
        <v>100</v>
      </c>
    </row>
    <row r="80" spans="1:14" ht="12.75">
      <c r="A80" s="64" t="s">
        <v>315</v>
      </c>
      <c r="B80" s="74" t="s">
        <v>108</v>
      </c>
      <c r="C80" s="67" t="s">
        <v>343</v>
      </c>
      <c r="D80" s="67"/>
      <c r="E80" s="69" t="s">
        <v>344</v>
      </c>
      <c r="F80" s="68"/>
      <c r="G80" s="68"/>
      <c r="H80" s="68"/>
      <c r="I80" s="68">
        <f>I81+I82</f>
        <v>435140.3</v>
      </c>
      <c r="J80" s="68">
        <f>J81+J82</f>
        <v>435140.3</v>
      </c>
      <c r="K80" s="68">
        <f t="shared" si="0"/>
        <v>100</v>
      </c>
      <c r="L80" s="68">
        <f t="shared" si="1"/>
        <v>435140.3</v>
      </c>
      <c r="M80" s="68">
        <f t="shared" si="2"/>
        <v>435140.3</v>
      </c>
      <c r="N80" s="179">
        <f t="shared" si="3"/>
        <v>100</v>
      </c>
    </row>
    <row r="81" spans="1:14" ht="12.75">
      <c r="A81" s="64" t="s">
        <v>315</v>
      </c>
      <c r="B81" s="74" t="s">
        <v>108</v>
      </c>
      <c r="C81" s="67" t="s">
        <v>343</v>
      </c>
      <c r="D81" s="67">
        <v>200</v>
      </c>
      <c r="E81" s="69" t="s">
        <v>246</v>
      </c>
      <c r="F81" s="68"/>
      <c r="G81" s="68"/>
      <c r="H81" s="68"/>
      <c r="I81" s="68">
        <f>422790.3</f>
        <v>422790.3</v>
      </c>
      <c r="J81" s="68">
        <v>422790.3</v>
      </c>
      <c r="K81" s="68">
        <f t="shared" si="0"/>
        <v>100</v>
      </c>
      <c r="L81" s="68">
        <f t="shared" si="1"/>
        <v>422790.3</v>
      </c>
      <c r="M81" s="68">
        <f t="shared" si="2"/>
        <v>422790.3</v>
      </c>
      <c r="N81" s="179">
        <f t="shared" si="3"/>
        <v>100</v>
      </c>
    </row>
    <row r="82" spans="1:14" ht="12.75">
      <c r="A82" s="64" t="s">
        <v>315</v>
      </c>
      <c r="B82" s="74" t="s">
        <v>108</v>
      </c>
      <c r="C82" s="67" t="s">
        <v>343</v>
      </c>
      <c r="D82" s="67">
        <v>800</v>
      </c>
      <c r="E82" s="69" t="s">
        <v>194</v>
      </c>
      <c r="F82" s="68"/>
      <c r="G82" s="68"/>
      <c r="H82" s="68"/>
      <c r="I82" s="68">
        <v>12350</v>
      </c>
      <c r="J82" s="68">
        <v>12350</v>
      </c>
      <c r="K82" s="68">
        <f aca="true" t="shared" si="5" ref="K82:K156">(J82/I82)*100</f>
        <v>100</v>
      </c>
      <c r="L82" s="68">
        <f aca="true" t="shared" si="6" ref="L82:L156">F82+I82</f>
        <v>12350</v>
      </c>
      <c r="M82" s="68">
        <f aca="true" t="shared" si="7" ref="M82:M156">G82+J82</f>
        <v>12350</v>
      </c>
      <c r="N82" s="179">
        <f aca="true" t="shared" si="8" ref="N82:N156">(M82/L82)*100</f>
        <v>100</v>
      </c>
    </row>
    <row r="83" spans="1:14" s="181" customFormat="1" ht="12.75">
      <c r="A83" s="66" t="s">
        <v>315</v>
      </c>
      <c r="B83" s="70" t="s">
        <v>110</v>
      </c>
      <c r="C83" s="172"/>
      <c r="D83" s="172"/>
      <c r="E83" s="80" t="s">
        <v>111</v>
      </c>
      <c r="F83" s="72">
        <f>F84+F86+F88</f>
        <v>200000</v>
      </c>
      <c r="G83" s="72">
        <f>G88</f>
        <v>200000</v>
      </c>
      <c r="H83" s="72">
        <f>(G83/F83)*100</f>
        <v>100</v>
      </c>
      <c r="I83" s="72">
        <f>I84+I86+I90</f>
        <v>898518.5499999999</v>
      </c>
      <c r="J83" s="72">
        <f>J84+J86+J90</f>
        <v>819607.49</v>
      </c>
      <c r="K83" s="72">
        <f t="shared" si="5"/>
        <v>91.21764820548223</v>
      </c>
      <c r="L83" s="72">
        <f t="shared" si="6"/>
        <v>1098518.5499999998</v>
      </c>
      <c r="M83" s="72">
        <f t="shared" si="7"/>
        <v>1019607.49</v>
      </c>
      <c r="N83" s="180">
        <f t="shared" si="8"/>
        <v>92.81659285589672</v>
      </c>
    </row>
    <row r="84" spans="1:14" ht="12.75">
      <c r="A84" s="64" t="s">
        <v>315</v>
      </c>
      <c r="B84" s="74" t="s">
        <v>110</v>
      </c>
      <c r="C84" s="67" t="s">
        <v>343</v>
      </c>
      <c r="D84" s="67"/>
      <c r="E84" s="69" t="s">
        <v>344</v>
      </c>
      <c r="F84" s="68"/>
      <c r="G84" s="68"/>
      <c r="H84" s="68"/>
      <c r="I84" s="68">
        <f>I85</f>
        <v>842618.6</v>
      </c>
      <c r="J84" s="68">
        <f>J85</f>
        <v>788624.98</v>
      </c>
      <c r="K84" s="68">
        <f t="shared" si="5"/>
        <v>93.59216376187281</v>
      </c>
      <c r="L84" s="68">
        <f t="shared" si="6"/>
        <v>842618.6</v>
      </c>
      <c r="M84" s="68">
        <f t="shared" si="7"/>
        <v>788624.98</v>
      </c>
      <c r="N84" s="179">
        <f t="shared" si="8"/>
        <v>93.59216376187281</v>
      </c>
    </row>
    <row r="85" spans="1:14" ht="12.75">
      <c r="A85" s="64" t="s">
        <v>315</v>
      </c>
      <c r="B85" s="74" t="s">
        <v>110</v>
      </c>
      <c r="C85" s="67" t="s">
        <v>343</v>
      </c>
      <c r="D85" s="67">
        <v>200</v>
      </c>
      <c r="E85" s="69" t="s">
        <v>246</v>
      </c>
      <c r="F85" s="68"/>
      <c r="G85" s="68"/>
      <c r="H85" s="68"/>
      <c r="I85" s="68">
        <v>842618.6</v>
      </c>
      <c r="J85" s="68">
        <v>788624.98</v>
      </c>
      <c r="K85" s="68">
        <f t="shared" si="5"/>
        <v>93.59216376187281</v>
      </c>
      <c r="L85" s="68">
        <f t="shared" si="6"/>
        <v>842618.6</v>
      </c>
      <c r="M85" s="68">
        <f t="shared" si="7"/>
        <v>788624.98</v>
      </c>
      <c r="N85" s="179">
        <f t="shared" si="8"/>
        <v>93.59216376187281</v>
      </c>
    </row>
    <row r="86" spans="1:14" ht="12.75">
      <c r="A86" s="64" t="s">
        <v>315</v>
      </c>
      <c r="B86" s="74" t="s">
        <v>110</v>
      </c>
      <c r="C86" s="67" t="s">
        <v>345</v>
      </c>
      <c r="D86" s="67"/>
      <c r="E86" s="69" t="s">
        <v>228</v>
      </c>
      <c r="F86" s="68"/>
      <c r="G86" s="68"/>
      <c r="H86" s="68"/>
      <c r="I86" s="68">
        <f>I87</f>
        <v>30982.51</v>
      </c>
      <c r="J86" s="68">
        <f>J87</f>
        <v>30982.51</v>
      </c>
      <c r="K86" s="68">
        <f t="shared" si="5"/>
        <v>100</v>
      </c>
      <c r="L86" s="68">
        <f t="shared" si="6"/>
        <v>30982.51</v>
      </c>
      <c r="M86" s="68">
        <f t="shared" si="7"/>
        <v>30982.51</v>
      </c>
      <c r="N86" s="179">
        <f t="shared" si="8"/>
        <v>100</v>
      </c>
    </row>
    <row r="87" spans="1:14" ht="12.75">
      <c r="A87" s="64" t="s">
        <v>315</v>
      </c>
      <c r="B87" s="74" t="s">
        <v>110</v>
      </c>
      <c r="C87" s="67" t="s">
        <v>345</v>
      </c>
      <c r="D87" s="67">
        <v>800</v>
      </c>
      <c r="E87" s="69" t="s">
        <v>194</v>
      </c>
      <c r="F87" s="68"/>
      <c r="G87" s="68"/>
      <c r="H87" s="68"/>
      <c r="I87" s="68">
        <v>30982.51</v>
      </c>
      <c r="J87" s="68">
        <v>30982.51</v>
      </c>
      <c r="K87" s="68">
        <f t="shared" si="5"/>
        <v>100</v>
      </c>
      <c r="L87" s="68">
        <f t="shared" si="6"/>
        <v>30982.51</v>
      </c>
      <c r="M87" s="68">
        <f t="shared" si="7"/>
        <v>30982.51</v>
      </c>
      <c r="N87" s="179">
        <f t="shared" si="8"/>
        <v>100</v>
      </c>
    </row>
    <row r="88" spans="1:14" ht="45">
      <c r="A88" s="64" t="s">
        <v>315</v>
      </c>
      <c r="B88" s="74" t="s">
        <v>110</v>
      </c>
      <c r="C88" s="76" t="s">
        <v>239</v>
      </c>
      <c r="D88" s="76"/>
      <c r="E88" s="69" t="s">
        <v>238</v>
      </c>
      <c r="F88" s="68">
        <f>F89</f>
        <v>200000</v>
      </c>
      <c r="G88" s="68">
        <f>G89</f>
        <v>200000</v>
      </c>
      <c r="H88" s="68">
        <f>(G88/F88)*100</f>
        <v>100</v>
      </c>
      <c r="I88" s="68"/>
      <c r="J88" s="68"/>
      <c r="K88" s="68"/>
      <c r="L88" s="68">
        <f t="shared" si="6"/>
        <v>200000</v>
      </c>
      <c r="M88" s="68">
        <f t="shared" si="7"/>
        <v>200000</v>
      </c>
      <c r="N88" s="179">
        <f t="shared" si="8"/>
        <v>100</v>
      </c>
    </row>
    <row r="89" spans="1:14" ht="12.75">
      <c r="A89" s="64" t="s">
        <v>315</v>
      </c>
      <c r="B89" s="74" t="s">
        <v>110</v>
      </c>
      <c r="C89" s="76" t="s">
        <v>239</v>
      </c>
      <c r="D89" s="67">
        <v>400</v>
      </c>
      <c r="E89" s="69" t="s">
        <v>392</v>
      </c>
      <c r="F89" s="68">
        <v>200000</v>
      </c>
      <c r="G89" s="68">
        <v>200000</v>
      </c>
      <c r="H89" s="68">
        <f>(G89/F89)*100</f>
        <v>100</v>
      </c>
      <c r="I89" s="68"/>
      <c r="J89" s="68"/>
      <c r="K89" s="68"/>
      <c r="L89" s="68">
        <f t="shared" si="6"/>
        <v>200000</v>
      </c>
      <c r="M89" s="68">
        <f t="shared" si="7"/>
        <v>200000</v>
      </c>
      <c r="N89" s="179">
        <f t="shared" si="8"/>
        <v>100</v>
      </c>
    </row>
    <row r="90" spans="1:14" ht="22.5">
      <c r="A90" s="64" t="s">
        <v>315</v>
      </c>
      <c r="B90" s="74" t="s">
        <v>110</v>
      </c>
      <c r="C90" s="187" t="s">
        <v>235</v>
      </c>
      <c r="D90" s="76"/>
      <c r="E90" s="69" t="s">
        <v>234</v>
      </c>
      <c r="F90" s="68"/>
      <c r="G90" s="68"/>
      <c r="H90" s="68"/>
      <c r="I90" s="68">
        <f>I91</f>
        <v>24917.44</v>
      </c>
      <c r="J90" s="68">
        <f>J91</f>
        <v>0</v>
      </c>
      <c r="K90" s="68"/>
      <c r="L90" s="68">
        <f>L91</f>
        <v>24917.44</v>
      </c>
      <c r="M90" s="68"/>
      <c r="N90" s="179"/>
    </row>
    <row r="91" spans="1:14" ht="12.75">
      <c r="A91" s="64" t="s">
        <v>315</v>
      </c>
      <c r="B91" s="74" t="s">
        <v>110</v>
      </c>
      <c r="C91" s="187" t="s">
        <v>235</v>
      </c>
      <c r="D91" s="67">
        <v>400</v>
      </c>
      <c r="E91" s="69" t="s">
        <v>392</v>
      </c>
      <c r="F91" s="68"/>
      <c r="G91" s="68"/>
      <c r="H91" s="68"/>
      <c r="I91" s="68">
        <v>24917.44</v>
      </c>
      <c r="J91" s="68"/>
      <c r="K91" s="68"/>
      <c r="L91" s="68">
        <f>I91</f>
        <v>24917.44</v>
      </c>
      <c r="M91" s="68"/>
      <c r="N91" s="179"/>
    </row>
    <row r="92" spans="1:14" s="181" customFormat="1" ht="12.75">
      <c r="A92" s="66" t="s">
        <v>315</v>
      </c>
      <c r="B92" s="70" t="s">
        <v>112</v>
      </c>
      <c r="C92" s="172"/>
      <c r="D92" s="172"/>
      <c r="E92" s="80" t="s">
        <v>113</v>
      </c>
      <c r="F92" s="72">
        <f>F93+F96+F98+F101</f>
        <v>1546316</v>
      </c>
      <c r="G92" s="72">
        <f>G93+G96+G98+G103+G101</f>
        <v>949164.71</v>
      </c>
      <c r="H92" s="68">
        <f>(G92/F92)*100</f>
        <v>61.382324828818945</v>
      </c>
      <c r="I92" s="72">
        <f>I93+I96+I98+I101+I105+I103</f>
        <v>8665894.73</v>
      </c>
      <c r="J92" s="72">
        <f>J93+J96+J98+J101+J105</f>
        <v>8397695</v>
      </c>
      <c r="K92" s="72">
        <f t="shared" si="5"/>
        <v>96.90511207029166</v>
      </c>
      <c r="L92" s="72">
        <f t="shared" si="6"/>
        <v>10212210.73</v>
      </c>
      <c r="M92" s="72">
        <f t="shared" si="7"/>
        <v>9346859.71</v>
      </c>
      <c r="N92" s="180">
        <f t="shared" si="8"/>
        <v>91.52631058172456</v>
      </c>
    </row>
    <row r="93" spans="1:14" ht="12.75">
      <c r="A93" s="64" t="s">
        <v>315</v>
      </c>
      <c r="B93" s="74" t="s">
        <v>112</v>
      </c>
      <c r="C93" s="67" t="s">
        <v>346</v>
      </c>
      <c r="D93" s="67"/>
      <c r="E93" s="69" t="s">
        <v>244</v>
      </c>
      <c r="F93" s="68"/>
      <c r="G93" s="68"/>
      <c r="H93" s="68"/>
      <c r="I93" s="68">
        <f>I94+I95</f>
        <v>4700920.58</v>
      </c>
      <c r="J93" s="68">
        <f>J94+J95</f>
        <v>4665016.05</v>
      </c>
      <c r="K93" s="68">
        <f t="shared" si="5"/>
        <v>99.23622342924159</v>
      </c>
      <c r="L93" s="68">
        <f t="shared" si="6"/>
        <v>4700920.58</v>
      </c>
      <c r="M93" s="68">
        <f t="shared" si="7"/>
        <v>4665016.05</v>
      </c>
      <c r="N93" s="179">
        <f t="shared" si="8"/>
        <v>99.23622342924159</v>
      </c>
    </row>
    <row r="94" spans="1:14" ht="12.75">
      <c r="A94" s="64" t="s">
        <v>315</v>
      </c>
      <c r="B94" s="74" t="s">
        <v>112</v>
      </c>
      <c r="C94" s="67" t="s">
        <v>346</v>
      </c>
      <c r="D94" s="67">
        <v>200</v>
      </c>
      <c r="E94" s="69" t="s">
        <v>246</v>
      </c>
      <c r="F94" s="68"/>
      <c r="G94" s="68"/>
      <c r="H94" s="68"/>
      <c r="I94" s="68">
        <f>4121884.03+575053.68</f>
        <v>4696937.71</v>
      </c>
      <c r="J94" s="68">
        <f>4121884.03+539149.15</f>
        <v>4661033.18</v>
      </c>
      <c r="K94" s="68">
        <f t="shared" si="5"/>
        <v>99.23557576836589</v>
      </c>
      <c r="L94" s="68">
        <f t="shared" si="6"/>
        <v>4696937.71</v>
      </c>
      <c r="M94" s="68">
        <f t="shared" si="7"/>
        <v>4661033.18</v>
      </c>
      <c r="N94" s="179">
        <f t="shared" si="8"/>
        <v>99.23557576836589</v>
      </c>
    </row>
    <row r="95" spans="1:14" ht="12.75">
      <c r="A95" s="64" t="s">
        <v>315</v>
      </c>
      <c r="B95" s="74" t="s">
        <v>112</v>
      </c>
      <c r="C95" s="67" t="s">
        <v>346</v>
      </c>
      <c r="D95" s="67">
        <v>800</v>
      </c>
      <c r="E95" s="69" t="s">
        <v>194</v>
      </c>
      <c r="F95" s="68"/>
      <c r="G95" s="68"/>
      <c r="H95" s="68"/>
      <c r="I95" s="68">
        <v>3982.87</v>
      </c>
      <c r="J95" s="68">
        <v>3982.87</v>
      </c>
      <c r="K95" s="68">
        <f t="shared" si="5"/>
        <v>100</v>
      </c>
      <c r="L95" s="68">
        <f t="shared" si="6"/>
        <v>3982.87</v>
      </c>
      <c r="M95" s="68">
        <f t="shared" si="7"/>
        <v>3982.87</v>
      </c>
      <c r="N95" s="179">
        <f t="shared" si="8"/>
        <v>100</v>
      </c>
    </row>
    <row r="96" spans="1:14" ht="12.75">
      <c r="A96" s="64" t="s">
        <v>315</v>
      </c>
      <c r="B96" s="74" t="s">
        <v>112</v>
      </c>
      <c r="C96" s="67" t="s">
        <v>347</v>
      </c>
      <c r="D96" s="67"/>
      <c r="E96" s="69" t="s">
        <v>247</v>
      </c>
      <c r="F96" s="68"/>
      <c r="G96" s="68"/>
      <c r="H96" s="68"/>
      <c r="I96" s="68">
        <f>I97</f>
        <v>2345965.57</v>
      </c>
      <c r="J96" s="68">
        <f>J97</f>
        <v>2113670.37</v>
      </c>
      <c r="K96" s="68">
        <f t="shared" si="5"/>
        <v>90.09809849852145</v>
      </c>
      <c r="L96" s="68">
        <f t="shared" si="6"/>
        <v>2345965.57</v>
      </c>
      <c r="M96" s="68">
        <f t="shared" si="7"/>
        <v>2113670.37</v>
      </c>
      <c r="N96" s="179">
        <f t="shared" si="8"/>
        <v>90.09809849852145</v>
      </c>
    </row>
    <row r="97" spans="1:14" ht="12.75">
      <c r="A97" s="64" t="s">
        <v>315</v>
      </c>
      <c r="B97" s="74" t="s">
        <v>112</v>
      </c>
      <c r="C97" s="67" t="s">
        <v>347</v>
      </c>
      <c r="D97" s="67">
        <v>200</v>
      </c>
      <c r="E97" s="69" t="s">
        <v>246</v>
      </c>
      <c r="F97" s="68"/>
      <c r="G97" s="68"/>
      <c r="H97" s="68"/>
      <c r="I97" s="68">
        <v>2345965.57</v>
      </c>
      <c r="J97" s="68">
        <f>51088.69+2062581.68</f>
        <v>2113670.37</v>
      </c>
      <c r="K97" s="68">
        <f t="shared" si="5"/>
        <v>90.09809849852145</v>
      </c>
      <c r="L97" s="68">
        <f t="shared" si="6"/>
        <v>2345965.57</v>
      </c>
      <c r="M97" s="68">
        <f t="shared" si="7"/>
        <v>2113670.37</v>
      </c>
      <c r="N97" s="179">
        <f t="shared" si="8"/>
        <v>90.09809849852145</v>
      </c>
    </row>
    <row r="98" spans="1:14" ht="12.75">
      <c r="A98" s="64" t="s">
        <v>315</v>
      </c>
      <c r="B98" s="74" t="s">
        <v>112</v>
      </c>
      <c r="C98" s="67" t="s">
        <v>348</v>
      </c>
      <c r="D98" s="67"/>
      <c r="E98" s="69" t="s">
        <v>253</v>
      </c>
      <c r="F98" s="68"/>
      <c r="G98" s="68"/>
      <c r="H98" s="68"/>
      <c r="I98" s="68">
        <f>I99+I100</f>
        <v>1129738.49</v>
      </c>
      <c r="J98" s="68">
        <f>J99+J100</f>
        <v>1129738.49</v>
      </c>
      <c r="K98" s="68">
        <f t="shared" si="5"/>
        <v>100</v>
      </c>
      <c r="L98" s="68">
        <f t="shared" si="6"/>
        <v>1129738.49</v>
      </c>
      <c r="M98" s="68">
        <f t="shared" si="7"/>
        <v>1129738.49</v>
      </c>
      <c r="N98" s="179">
        <f t="shared" si="8"/>
        <v>100</v>
      </c>
    </row>
    <row r="99" spans="1:14" ht="12.75">
      <c r="A99" s="64" t="s">
        <v>315</v>
      </c>
      <c r="B99" s="74" t="s">
        <v>112</v>
      </c>
      <c r="C99" s="67" t="s">
        <v>348</v>
      </c>
      <c r="D99" s="67">
        <v>200</v>
      </c>
      <c r="E99" s="69" t="s">
        <v>246</v>
      </c>
      <c r="F99" s="68"/>
      <c r="G99" s="68"/>
      <c r="H99" s="68"/>
      <c r="I99" s="68">
        <f>1113113.9</f>
        <v>1113113.9</v>
      </c>
      <c r="J99" s="68">
        <v>1113113.9</v>
      </c>
      <c r="K99" s="68">
        <f t="shared" si="5"/>
        <v>100</v>
      </c>
      <c r="L99" s="68">
        <f t="shared" si="6"/>
        <v>1113113.9</v>
      </c>
      <c r="M99" s="68">
        <f t="shared" si="7"/>
        <v>1113113.9</v>
      </c>
      <c r="N99" s="179">
        <f t="shared" si="8"/>
        <v>100</v>
      </c>
    </row>
    <row r="100" spans="1:14" ht="12.75">
      <c r="A100" s="64" t="s">
        <v>315</v>
      </c>
      <c r="B100" s="74" t="s">
        <v>112</v>
      </c>
      <c r="C100" s="67" t="s">
        <v>348</v>
      </c>
      <c r="D100" s="67">
        <v>800</v>
      </c>
      <c r="E100" s="69" t="s">
        <v>194</v>
      </c>
      <c r="F100" s="68"/>
      <c r="G100" s="68"/>
      <c r="H100" s="68"/>
      <c r="I100" s="68">
        <v>16624.59</v>
      </c>
      <c r="J100" s="68">
        <v>16624.59</v>
      </c>
      <c r="K100" s="68">
        <f t="shared" si="5"/>
        <v>100</v>
      </c>
      <c r="L100" s="68">
        <f t="shared" si="6"/>
        <v>16624.59</v>
      </c>
      <c r="M100" s="68">
        <f t="shared" si="7"/>
        <v>16624.59</v>
      </c>
      <c r="N100" s="179">
        <f t="shared" si="8"/>
        <v>100</v>
      </c>
    </row>
    <row r="101" spans="1:14" ht="12.75">
      <c r="A101" s="64" t="s">
        <v>315</v>
      </c>
      <c r="B101" s="74" t="s">
        <v>112</v>
      </c>
      <c r="C101" s="67" t="s">
        <v>414</v>
      </c>
      <c r="D101" s="67"/>
      <c r="E101" s="69" t="s">
        <v>415</v>
      </c>
      <c r="F101" s="68">
        <f>F102</f>
        <v>1546316</v>
      </c>
      <c r="G101" s="68">
        <f>G102</f>
        <v>949164.71</v>
      </c>
      <c r="H101" s="68">
        <f>(G101/F101)*100</f>
        <v>61.382324828818945</v>
      </c>
      <c r="I101" s="68">
        <f>I102</f>
        <v>49956.62</v>
      </c>
      <c r="J101" s="68">
        <f>J102</f>
        <v>49956.62</v>
      </c>
      <c r="K101" s="68"/>
      <c r="L101" s="68">
        <f>L102</f>
        <v>49956.62</v>
      </c>
      <c r="M101" s="68"/>
      <c r="N101" s="179"/>
    </row>
    <row r="102" spans="1:14" ht="12.75">
      <c r="A102" s="64" t="s">
        <v>315</v>
      </c>
      <c r="B102" s="74" t="s">
        <v>112</v>
      </c>
      <c r="C102" s="67" t="s">
        <v>414</v>
      </c>
      <c r="D102" s="67">
        <v>200</v>
      </c>
      <c r="E102" s="69" t="s">
        <v>246</v>
      </c>
      <c r="F102" s="68">
        <f>821020+725296</f>
        <v>1546316</v>
      </c>
      <c r="G102" s="68">
        <f>503961.06+445203.65</f>
        <v>949164.71</v>
      </c>
      <c r="H102" s="68">
        <f>(G102/F102)*100</f>
        <v>61.382324828818945</v>
      </c>
      <c r="I102" s="68">
        <v>49956.62</v>
      </c>
      <c r="J102" s="68">
        <v>49956.62</v>
      </c>
      <c r="K102" s="68"/>
      <c r="L102" s="68">
        <f>I102</f>
        <v>49956.62</v>
      </c>
      <c r="M102" s="68"/>
      <c r="N102" s="179"/>
    </row>
    <row r="103" spans="1:14" ht="12.75">
      <c r="A103" s="64" t="s">
        <v>315</v>
      </c>
      <c r="B103" s="74" t="s">
        <v>112</v>
      </c>
      <c r="C103" s="67" t="s">
        <v>427</v>
      </c>
      <c r="D103" s="67"/>
      <c r="E103" s="69" t="s">
        <v>415</v>
      </c>
      <c r="F103" s="68">
        <f>F104</f>
        <v>0</v>
      </c>
      <c r="G103" s="68">
        <f>G104</f>
        <v>0</v>
      </c>
      <c r="H103" s="68"/>
      <c r="I103" s="68">
        <f>I104</f>
        <v>0</v>
      </c>
      <c r="J103" s="68"/>
      <c r="K103" s="68"/>
      <c r="L103" s="68"/>
      <c r="M103" s="68"/>
      <c r="N103" s="179"/>
    </row>
    <row r="104" spans="1:14" ht="12.75">
      <c r="A104" s="64" t="s">
        <v>315</v>
      </c>
      <c r="B104" s="74" t="s">
        <v>112</v>
      </c>
      <c r="C104" s="67" t="s">
        <v>427</v>
      </c>
      <c r="D104" s="67">
        <v>200</v>
      </c>
      <c r="E104" s="69" t="s">
        <v>246</v>
      </c>
      <c r="F104" s="68"/>
      <c r="G104" s="68">
        <v>0</v>
      </c>
      <c r="H104" s="68">
        <v>0</v>
      </c>
      <c r="I104" s="68">
        <v>0</v>
      </c>
      <c r="J104" s="68"/>
      <c r="K104" s="68"/>
      <c r="L104" s="68"/>
      <c r="M104" s="68"/>
      <c r="N104" s="179"/>
    </row>
    <row r="105" spans="1:14" ht="12.75">
      <c r="A105" s="64" t="s">
        <v>315</v>
      </c>
      <c r="B105" s="74" t="s">
        <v>112</v>
      </c>
      <c r="C105" s="67" t="s">
        <v>436</v>
      </c>
      <c r="D105" s="67"/>
      <c r="E105" s="69" t="s">
        <v>447</v>
      </c>
      <c r="F105" s="68"/>
      <c r="G105" s="68"/>
      <c r="H105" s="68"/>
      <c r="I105" s="68">
        <f>I106</f>
        <v>439313.47</v>
      </c>
      <c r="J105" s="68">
        <f>J106</f>
        <v>439313.47</v>
      </c>
      <c r="K105" s="68"/>
      <c r="L105" s="68"/>
      <c r="M105" s="68"/>
      <c r="N105" s="179"/>
    </row>
    <row r="106" spans="1:14" ht="12.75">
      <c r="A106" s="64" t="s">
        <v>315</v>
      </c>
      <c r="B106" s="74" t="s">
        <v>112</v>
      </c>
      <c r="C106" s="67" t="s">
        <v>436</v>
      </c>
      <c r="D106" s="67">
        <v>200</v>
      </c>
      <c r="E106" s="69" t="s">
        <v>246</v>
      </c>
      <c r="F106" s="68"/>
      <c r="G106" s="68"/>
      <c r="H106" s="68"/>
      <c r="I106" s="68">
        <v>439313.47</v>
      </c>
      <c r="J106" s="68">
        <v>439313.47</v>
      </c>
      <c r="K106" s="68"/>
      <c r="L106" s="68"/>
      <c r="M106" s="68"/>
      <c r="N106" s="179"/>
    </row>
    <row r="107" spans="1:14" s="181" customFormat="1" ht="12.75">
      <c r="A107" s="66" t="s">
        <v>315</v>
      </c>
      <c r="B107" s="70" t="s">
        <v>114</v>
      </c>
      <c r="C107" s="79"/>
      <c r="D107" s="79"/>
      <c r="E107" s="80" t="s">
        <v>349</v>
      </c>
      <c r="F107" s="72">
        <f>F108+F112</f>
        <v>14534.23</v>
      </c>
      <c r="G107" s="72">
        <f>G108+G112</f>
        <v>14534.23</v>
      </c>
      <c r="H107" s="72">
        <f>(G107/F107)*100</f>
        <v>100</v>
      </c>
      <c r="I107" s="72">
        <f>I108</f>
        <v>7981966.55</v>
      </c>
      <c r="J107" s="72">
        <f>J108</f>
        <v>7925234.86</v>
      </c>
      <c r="K107" s="72">
        <f t="shared" si="5"/>
        <v>99.28925171955275</v>
      </c>
      <c r="L107" s="72">
        <f>L108+L112</f>
        <v>7996500.78</v>
      </c>
      <c r="M107" s="72">
        <f>M108+M112</f>
        <v>7939769.090000001</v>
      </c>
      <c r="N107" s="180">
        <f t="shared" si="8"/>
        <v>99.29054355697818</v>
      </c>
    </row>
    <row r="108" spans="1:14" ht="12.75">
      <c r="A108" s="64" t="s">
        <v>315</v>
      </c>
      <c r="B108" s="74" t="s">
        <v>114</v>
      </c>
      <c r="C108" s="67" t="s">
        <v>350</v>
      </c>
      <c r="D108" s="67"/>
      <c r="E108" s="69" t="s">
        <v>349</v>
      </c>
      <c r="F108" s="68"/>
      <c r="G108" s="68"/>
      <c r="H108" s="68"/>
      <c r="I108" s="68">
        <f>I109+I110+I111</f>
        <v>7981966.55</v>
      </c>
      <c r="J108" s="68">
        <f>J109+J110+J111</f>
        <v>7925234.86</v>
      </c>
      <c r="K108" s="68">
        <f t="shared" si="5"/>
        <v>99.28925171955275</v>
      </c>
      <c r="L108" s="68">
        <f t="shared" si="6"/>
        <v>7981966.55</v>
      </c>
      <c r="M108" s="68">
        <f t="shared" si="7"/>
        <v>7925234.86</v>
      </c>
      <c r="N108" s="179">
        <f t="shared" si="8"/>
        <v>99.28925171955275</v>
      </c>
    </row>
    <row r="109" spans="1:14" ht="33.75">
      <c r="A109" s="64" t="s">
        <v>315</v>
      </c>
      <c r="B109" s="74" t="s">
        <v>114</v>
      </c>
      <c r="C109" s="67" t="s">
        <v>350</v>
      </c>
      <c r="D109" s="67">
        <v>100</v>
      </c>
      <c r="E109" s="69" t="s">
        <v>320</v>
      </c>
      <c r="F109" s="68"/>
      <c r="G109" s="68"/>
      <c r="H109" s="68"/>
      <c r="I109" s="68">
        <f>98832.51+5835757.91</f>
        <v>5934590.42</v>
      </c>
      <c r="J109" s="68">
        <f>5835757.91+98832.51</f>
        <v>5934590.42</v>
      </c>
      <c r="K109" s="68">
        <f t="shared" si="5"/>
        <v>100</v>
      </c>
      <c r="L109" s="68">
        <f t="shared" si="6"/>
        <v>5934590.42</v>
      </c>
      <c r="M109" s="68">
        <f t="shared" si="7"/>
        <v>5934590.42</v>
      </c>
      <c r="N109" s="179">
        <f t="shared" si="8"/>
        <v>100</v>
      </c>
    </row>
    <row r="110" spans="1:14" ht="12.75">
      <c r="A110" s="64" t="s">
        <v>315</v>
      </c>
      <c r="B110" s="74" t="s">
        <v>114</v>
      </c>
      <c r="C110" s="67" t="s">
        <v>350</v>
      </c>
      <c r="D110" s="67">
        <v>200</v>
      </c>
      <c r="E110" s="69" t="s">
        <v>246</v>
      </c>
      <c r="F110" s="68"/>
      <c r="G110" s="68"/>
      <c r="H110" s="68"/>
      <c r="I110" s="68">
        <v>2009405.97</v>
      </c>
      <c r="J110" s="68">
        <v>1952674.28</v>
      </c>
      <c r="K110" s="68">
        <f t="shared" si="5"/>
        <v>97.17669346826914</v>
      </c>
      <c r="L110" s="68">
        <f t="shared" si="6"/>
        <v>2009405.97</v>
      </c>
      <c r="M110" s="68">
        <f t="shared" si="7"/>
        <v>1952674.28</v>
      </c>
      <c r="N110" s="179">
        <f t="shared" si="8"/>
        <v>97.17669346826914</v>
      </c>
    </row>
    <row r="111" spans="1:14" ht="12.75">
      <c r="A111" s="64" t="s">
        <v>315</v>
      </c>
      <c r="B111" s="74" t="s">
        <v>114</v>
      </c>
      <c r="C111" s="67" t="s">
        <v>350</v>
      </c>
      <c r="D111" s="67">
        <v>800</v>
      </c>
      <c r="E111" s="69" t="s">
        <v>194</v>
      </c>
      <c r="F111" s="68"/>
      <c r="G111" s="68"/>
      <c r="H111" s="68"/>
      <c r="I111" s="68">
        <v>37970.16</v>
      </c>
      <c r="J111" s="68">
        <v>37970.16</v>
      </c>
      <c r="K111" s="68">
        <f t="shared" si="5"/>
        <v>100</v>
      </c>
      <c r="L111" s="68">
        <f t="shared" si="6"/>
        <v>37970.16</v>
      </c>
      <c r="M111" s="68">
        <f t="shared" si="7"/>
        <v>37970.16</v>
      </c>
      <c r="N111" s="179">
        <f t="shared" si="8"/>
        <v>100</v>
      </c>
    </row>
    <row r="112" spans="1:14" ht="22.5">
      <c r="A112" s="64" t="s">
        <v>315</v>
      </c>
      <c r="B112" s="74" t="s">
        <v>114</v>
      </c>
      <c r="C112" s="76" t="s">
        <v>423</v>
      </c>
      <c r="D112" s="76"/>
      <c r="E112" s="69" t="s">
        <v>424</v>
      </c>
      <c r="F112" s="68">
        <f>F113</f>
        <v>14534.23</v>
      </c>
      <c r="G112" s="68">
        <f>G113</f>
        <v>14534.23</v>
      </c>
      <c r="H112" s="68"/>
      <c r="I112" s="68"/>
      <c r="J112" s="68"/>
      <c r="K112" s="68"/>
      <c r="L112" s="68">
        <f>L113</f>
        <v>14534.23</v>
      </c>
      <c r="M112" s="68">
        <f>M113</f>
        <v>14534.23</v>
      </c>
      <c r="N112" s="179">
        <f t="shared" si="8"/>
        <v>100</v>
      </c>
    </row>
    <row r="113" spans="1:14" ht="33.75">
      <c r="A113" s="64" t="s">
        <v>315</v>
      </c>
      <c r="B113" s="74" t="s">
        <v>114</v>
      </c>
      <c r="C113" s="76" t="s">
        <v>423</v>
      </c>
      <c r="D113" s="67">
        <v>100</v>
      </c>
      <c r="E113" s="69" t="s">
        <v>320</v>
      </c>
      <c r="F113" s="68">
        <v>14534.23</v>
      </c>
      <c r="G113" s="68">
        <v>14534.23</v>
      </c>
      <c r="H113" s="68"/>
      <c r="I113" s="68"/>
      <c r="J113" s="68"/>
      <c r="K113" s="68"/>
      <c r="L113" s="68">
        <f>F113+I113</f>
        <v>14534.23</v>
      </c>
      <c r="M113" s="68">
        <f>G113+J113</f>
        <v>14534.23</v>
      </c>
      <c r="N113" s="179"/>
    </row>
    <row r="114" spans="1:14" s="181" customFormat="1" ht="12.75">
      <c r="A114" s="66" t="s">
        <v>315</v>
      </c>
      <c r="B114" s="70" t="s">
        <v>116</v>
      </c>
      <c r="C114" s="172"/>
      <c r="D114" s="172"/>
      <c r="E114" s="73" t="s">
        <v>117</v>
      </c>
      <c r="F114" s="72">
        <f>F115</f>
        <v>0</v>
      </c>
      <c r="G114" s="72"/>
      <c r="H114" s="72"/>
      <c r="I114" s="72">
        <f aca="true" t="shared" si="9" ref="I114:J116">I115</f>
        <v>96411.81</v>
      </c>
      <c r="J114" s="72">
        <f t="shared" si="9"/>
        <v>96411.81</v>
      </c>
      <c r="K114" s="72">
        <f t="shared" si="5"/>
        <v>100</v>
      </c>
      <c r="L114" s="72">
        <f t="shared" si="6"/>
        <v>96411.81</v>
      </c>
      <c r="M114" s="72">
        <f t="shared" si="7"/>
        <v>96411.81</v>
      </c>
      <c r="N114" s="180">
        <f t="shared" si="8"/>
        <v>100</v>
      </c>
    </row>
    <row r="115" spans="1:14" ht="12.75">
      <c r="A115" s="64" t="s">
        <v>315</v>
      </c>
      <c r="B115" s="70" t="s">
        <v>118</v>
      </c>
      <c r="C115" s="67"/>
      <c r="D115" s="67"/>
      <c r="E115" s="77" t="s">
        <v>119</v>
      </c>
      <c r="F115" s="72">
        <f>F116</f>
        <v>0</v>
      </c>
      <c r="G115" s="72"/>
      <c r="H115" s="68"/>
      <c r="I115" s="72">
        <f t="shared" si="9"/>
        <v>96411.81</v>
      </c>
      <c r="J115" s="72">
        <f t="shared" si="9"/>
        <v>96411.81</v>
      </c>
      <c r="K115" s="68">
        <f t="shared" si="5"/>
        <v>100</v>
      </c>
      <c r="L115" s="68">
        <f t="shared" si="6"/>
        <v>96411.81</v>
      </c>
      <c r="M115" s="68">
        <f t="shared" si="7"/>
        <v>96411.81</v>
      </c>
      <c r="N115" s="179">
        <f t="shared" si="8"/>
        <v>100</v>
      </c>
    </row>
    <row r="116" spans="1:14" ht="12.75">
      <c r="A116" s="64" t="s">
        <v>315</v>
      </c>
      <c r="B116" s="74" t="s">
        <v>118</v>
      </c>
      <c r="C116" s="67" t="s">
        <v>351</v>
      </c>
      <c r="D116" s="76"/>
      <c r="E116" s="71" t="s">
        <v>147</v>
      </c>
      <c r="F116" s="68"/>
      <c r="G116" s="68"/>
      <c r="H116" s="68"/>
      <c r="I116" s="68">
        <f t="shared" si="9"/>
        <v>96411.81</v>
      </c>
      <c r="J116" s="68">
        <f t="shared" si="9"/>
        <v>96411.81</v>
      </c>
      <c r="K116" s="68">
        <f t="shared" si="5"/>
        <v>100</v>
      </c>
      <c r="L116" s="68">
        <f t="shared" si="6"/>
        <v>96411.81</v>
      </c>
      <c r="M116" s="68">
        <f t="shared" si="7"/>
        <v>96411.81</v>
      </c>
      <c r="N116" s="179">
        <f t="shared" si="8"/>
        <v>100</v>
      </c>
    </row>
    <row r="117" spans="1:14" ht="12.75">
      <c r="A117" s="64" t="s">
        <v>315</v>
      </c>
      <c r="B117" s="74" t="s">
        <v>118</v>
      </c>
      <c r="C117" s="67" t="s">
        <v>351</v>
      </c>
      <c r="D117" s="67">
        <v>200</v>
      </c>
      <c r="E117" s="69" t="s">
        <v>246</v>
      </c>
      <c r="F117" s="68"/>
      <c r="G117" s="68"/>
      <c r="H117" s="68"/>
      <c r="I117" s="68">
        <v>96411.81</v>
      </c>
      <c r="J117" s="68">
        <v>96411.81</v>
      </c>
      <c r="K117" s="68">
        <f t="shared" si="5"/>
        <v>100</v>
      </c>
      <c r="L117" s="68">
        <f t="shared" si="6"/>
        <v>96411.81</v>
      </c>
      <c r="M117" s="68">
        <f t="shared" si="7"/>
        <v>96411.81</v>
      </c>
      <c r="N117" s="179">
        <f t="shared" si="8"/>
        <v>100</v>
      </c>
    </row>
    <row r="118" spans="1:14" s="181" customFormat="1" ht="12.75">
      <c r="A118" s="66" t="s">
        <v>315</v>
      </c>
      <c r="B118" s="70" t="s">
        <v>120</v>
      </c>
      <c r="C118" s="172"/>
      <c r="D118" s="172"/>
      <c r="E118" s="73" t="s">
        <v>352</v>
      </c>
      <c r="F118" s="72">
        <f>F119</f>
        <v>3659870.27</v>
      </c>
      <c r="G118" s="72">
        <f>G119</f>
        <v>3659733.73</v>
      </c>
      <c r="H118" s="72">
        <f>(G118/F118)*100</f>
        <v>99.99626926666994</v>
      </c>
      <c r="I118" s="72">
        <f>I119</f>
        <v>19678886.5</v>
      </c>
      <c r="J118" s="72">
        <f>J119</f>
        <v>17516230.44</v>
      </c>
      <c r="K118" s="72">
        <f t="shared" si="5"/>
        <v>89.01027220213908</v>
      </c>
      <c r="L118" s="72">
        <f t="shared" si="6"/>
        <v>23338756.77</v>
      </c>
      <c r="M118" s="72">
        <f t="shared" si="7"/>
        <v>21175964.17</v>
      </c>
      <c r="N118" s="180">
        <f t="shared" si="8"/>
        <v>90.73304280380485</v>
      </c>
    </row>
    <row r="119" spans="1:14" s="181" customFormat="1" ht="12.75">
      <c r="A119" s="66" t="s">
        <v>315</v>
      </c>
      <c r="B119" s="70" t="s">
        <v>122</v>
      </c>
      <c r="C119" s="172"/>
      <c r="D119" s="172"/>
      <c r="E119" s="80" t="s">
        <v>123</v>
      </c>
      <c r="F119" s="72">
        <f>F120+F125+F126+F131+F129+F133</f>
        <v>3659870.27</v>
      </c>
      <c r="G119" s="72">
        <f>G129+G131</f>
        <v>3659733.73</v>
      </c>
      <c r="H119" s="72">
        <f>(G119/F119)*100</f>
        <v>99.99626926666994</v>
      </c>
      <c r="I119" s="72">
        <f>I120+I125+I129+I133+I127</f>
        <v>19678886.5</v>
      </c>
      <c r="J119" s="72">
        <f>J120+J125+J127+J129+J133</f>
        <v>17516230.44</v>
      </c>
      <c r="K119" s="72">
        <f t="shared" si="5"/>
        <v>89.01027220213908</v>
      </c>
      <c r="L119" s="72">
        <f t="shared" si="6"/>
        <v>23338756.77</v>
      </c>
      <c r="M119" s="72">
        <f t="shared" si="7"/>
        <v>21175964.17</v>
      </c>
      <c r="N119" s="180">
        <f t="shared" si="8"/>
        <v>90.73304280380485</v>
      </c>
    </row>
    <row r="120" spans="1:14" ht="12.75">
      <c r="A120" s="64" t="s">
        <v>315</v>
      </c>
      <c r="B120" s="74" t="s">
        <v>122</v>
      </c>
      <c r="C120" s="67" t="s">
        <v>353</v>
      </c>
      <c r="D120" s="67"/>
      <c r="E120" s="69" t="s">
        <v>190</v>
      </c>
      <c r="F120" s="68">
        <f>F121</f>
        <v>0</v>
      </c>
      <c r="G120" s="68"/>
      <c r="H120" s="68"/>
      <c r="I120" s="68">
        <f>I121+I122+I123+I124</f>
        <v>18494634.229999997</v>
      </c>
      <c r="J120" s="68">
        <f>J121+J122+J123+J124</f>
        <v>16697044.01</v>
      </c>
      <c r="K120" s="68">
        <f t="shared" si="5"/>
        <v>90.28047704190797</v>
      </c>
      <c r="L120" s="68">
        <f t="shared" si="6"/>
        <v>18494634.229999997</v>
      </c>
      <c r="M120" s="68">
        <f t="shared" si="7"/>
        <v>16697044.01</v>
      </c>
      <c r="N120" s="179">
        <f t="shared" si="8"/>
        <v>90.28047704190797</v>
      </c>
    </row>
    <row r="121" spans="1:14" ht="33.75">
      <c r="A121" s="64" t="s">
        <v>315</v>
      </c>
      <c r="B121" s="74" t="s">
        <v>122</v>
      </c>
      <c r="C121" s="67" t="s">
        <v>353</v>
      </c>
      <c r="D121" s="67">
        <v>100</v>
      </c>
      <c r="E121" s="69" t="s">
        <v>320</v>
      </c>
      <c r="F121" s="68"/>
      <c r="G121" s="68"/>
      <c r="H121" s="68"/>
      <c r="I121" s="68">
        <f>10941759.95</f>
        <v>10941759.95</v>
      </c>
      <c r="J121" s="68">
        <v>10889655</v>
      </c>
      <c r="K121" s="68">
        <f t="shared" si="5"/>
        <v>99.52379735766365</v>
      </c>
      <c r="L121" s="68">
        <f t="shared" si="6"/>
        <v>10941759.95</v>
      </c>
      <c r="M121" s="68">
        <f t="shared" si="7"/>
        <v>10889655</v>
      </c>
      <c r="N121" s="179">
        <f t="shared" si="8"/>
        <v>99.52379735766365</v>
      </c>
    </row>
    <row r="122" spans="1:14" ht="12.75">
      <c r="A122" s="64" t="s">
        <v>315</v>
      </c>
      <c r="B122" s="74" t="s">
        <v>122</v>
      </c>
      <c r="C122" s="67" t="s">
        <v>353</v>
      </c>
      <c r="D122" s="67">
        <v>200</v>
      </c>
      <c r="E122" s="69" t="s">
        <v>246</v>
      </c>
      <c r="F122" s="68"/>
      <c r="G122" s="68"/>
      <c r="H122" s="68"/>
      <c r="I122" s="68">
        <v>6719180.04</v>
      </c>
      <c r="J122" s="68">
        <v>4973694.77</v>
      </c>
      <c r="K122" s="68">
        <f t="shared" si="5"/>
        <v>74.02234707793303</v>
      </c>
      <c r="L122" s="68">
        <f t="shared" si="6"/>
        <v>6719180.04</v>
      </c>
      <c r="M122" s="68">
        <f t="shared" si="7"/>
        <v>4973694.77</v>
      </c>
      <c r="N122" s="179">
        <f t="shared" si="8"/>
        <v>74.02234707793303</v>
      </c>
    </row>
    <row r="123" spans="1:14" ht="12.75">
      <c r="A123" s="64" t="s">
        <v>315</v>
      </c>
      <c r="B123" s="74" t="s">
        <v>122</v>
      </c>
      <c r="C123" s="67" t="s">
        <v>353</v>
      </c>
      <c r="D123" s="67">
        <v>300</v>
      </c>
      <c r="E123" s="69" t="s">
        <v>162</v>
      </c>
      <c r="F123" s="68"/>
      <c r="G123" s="68"/>
      <c r="H123" s="68"/>
      <c r="I123" s="68">
        <v>73780.77</v>
      </c>
      <c r="J123" s="68">
        <v>73780.77</v>
      </c>
      <c r="K123" s="68">
        <f t="shared" si="5"/>
        <v>100</v>
      </c>
      <c r="L123" s="68">
        <f t="shared" si="6"/>
        <v>73780.77</v>
      </c>
      <c r="M123" s="68">
        <f t="shared" si="7"/>
        <v>73780.77</v>
      </c>
      <c r="N123" s="179">
        <f t="shared" si="8"/>
        <v>100</v>
      </c>
    </row>
    <row r="124" spans="1:14" ht="12.75">
      <c r="A124" s="64" t="s">
        <v>315</v>
      </c>
      <c r="B124" s="74" t="s">
        <v>122</v>
      </c>
      <c r="C124" s="67" t="s">
        <v>353</v>
      </c>
      <c r="D124" s="67">
        <v>800</v>
      </c>
      <c r="E124" s="69" t="s">
        <v>194</v>
      </c>
      <c r="F124" s="68"/>
      <c r="G124" s="68"/>
      <c r="H124" s="68"/>
      <c r="I124" s="68">
        <v>759913.47</v>
      </c>
      <c r="J124" s="68">
        <v>759913.47</v>
      </c>
      <c r="K124" s="68">
        <f t="shared" si="5"/>
        <v>100</v>
      </c>
      <c r="L124" s="68">
        <f t="shared" si="6"/>
        <v>759913.47</v>
      </c>
      <c r="M124" s="68">
        <f t="shared" si="7"/>
        <v>759913.47</v>
      </c>
      <c r="N124" s="179">
        <f t="shared" si="8"/>
        <v>100</v>
      </c>
    </row>
    <row r="125" spans="1:14" ht="22.5">
      <c r="A125" s="64" t="s">
        <v>315</v>
      </c>
      <c r="B125" s="74" t="s">
        <v>122</v>
      </c>
      <c r="C125" s="67" t="s">
        <v>354</v>
      </c>
      <c r="D125" s="67"/>
      <c r="E125" s="69" t="s">
        <v>355</v>
      </c>
      <c r="F125" s="68"/>
      <c r="G125" s="68"/>
      <c r="H125" s="68"/>
      <c r="I125" s="68">
        <f>I126</f>
        <v>848324.01</v>
      </c>
      <c r="J125" s="68">
        <f>J126</f>
        <v>483258.17</v>
      </c>
      <c r="K125" s="68">
        <f t="shared" si="5"/>
        <v>56.966225675965475</v>
      </c>
      <c r="L125" s="68">
        <f t="shared" si="6"/>
        <v>848324.01</v>
      </c>
      <c r="M125" s="68">
        <f t="shared" si="7"/>
        <v>483258.17</v>
      </c>
      <c r="N125" s="179">
        <f t="shared" si="8"/>
        <v>56.966225675965475</v>
      </c>
    </row>
    <row r="126" spans="1:14" ht="12.75">
      <c r="A126" s="64" t="s">
        <v>315</v>
      </c>
      <c r="B126" s="74" t="s">
        <v>122</v>
      </c>
      <c r="C126" s="67" t="s">
        <v>354</v>
      </c>
      <c r="D126" s="67">
        <v>200</v>
      </c>
      <c r="E126" s="69" t="s">
        <v>246</v>
      </c>
      <c r="F126" s="68"/>
      <c r="G126" s="68"/>
      <c r="H126" s="68"/>
      <c r="I126" s="68">
        <v>848324.01</v>
      </c>
      <c r="J126" s="68">
        <v>483258.17</v>
      </c>
      <c r="K126" s="68">
        <f t="shared" si="5"/>
        <v>56.966225675965475</v>
      </c>
      <c r="L126" s="68">
        <f t="shared" si="6"/>
        <v>848324.01</v>
      </c>
      <c r="M126" s="68">
        <f t="shared" si="7"/>
        <v>483258.17</v>
      </c>
      <c r="N126" s="179">
        <f t="shared" si="8"/>
        <v>56.966225675965475</v>
      </c>
    </row>
    <row r="127" spans="1:14" ht="22.5">
      <c r="A127" s="64" t="s">
        <v>315</v>
      </c>
      <c r="B127" s="74" t="s">
        <v>122</v>
      </c>
      <c r="C127" s="67" t="s">
        <v>389</v>
      </c>
      <c r="D127" s="67"/>
      <c r="E127" s="69" t="s">
        <v>379</v>
      </c>
      <c r="F127" s="68"/>
      <c r="G127" s="68"/>
      <c r="H127" s="68"/>
      <c r="I127" s="68">
        <f>I128</f>
        <v>211547.37</v>
      </c>
      <c r="J127" s="68">
        <f>J128</f>
        <v>211547.37</v>
      </c>
      <c r="K127" s="68">
        <f t="shared" si="5"/>
        <v>100</v>
      </c>
      <c r="L127" s="68">
        <f t="shared" si="6"/>
        <v>211547.37</v>
      </c>
      <c r="M127" s="68">
        <f t="shared" si="7"/>
        <v>211547.37</v>
      </c>
      <c r="N127" s="179">
        <f t="shared" si="8"/>
        <v>100</v>
      </c>
    </row>
    <row r="128" spans="1:14" ht="12.75">
      <c r="A128" s="64" t="s">
        <v>315</v>
      </c>
      <c r="B128" s="74" t="s">
        <v>122</v>
      </c>
      <c r="C128" s="67" t="s">
        <v>389</v>
      </c>
      <c r="D128" s="67">
        <v>500</v>
      </c>
      <c r="E128" s="71" t="s">
        <v>193</v>
      </c>
      <c r="F128" s="68"/>
      <c r="G128" s="68"/>
      <c r="H128" s="68"/>
      <c r="I128" s="68">
        <v>211547.37</v>
      </c>
      <c r="J128" s="68">
        <v>211547.37</v>
      </c>
      <c r="K128" s="68">
        <f t="shared" si="5"/>
        <v>100</v>
      </c>
      <c r="L128" s="68">
        <f t="shared" si="6"/>
        <v>211547.37</v>
      </c>
      <c r="M128" s="68">
        <f t="shared" si="7"/>
        <v>211547.37</v>
      </c>
      <c r="N128" s="179">
        <f t="shared" si="8"/>
        <v>100</v>
      </c>
    </row>
    <row r="129" spans="1:14" ht="25.5">
      <c r="A129" s="64" t="s">
        <v>315</v>
      </c>
      <c r="B129" s="74" t="s">
        <v>122</v>
      </c>
      <c r="C129" s="67" t="s">
        <v>390</v>
      </c>
      <c r="D129" s="67"/>
      <c r="E129" s="71" t="s">
        <v>391</v>
      </c>
      <c r="F129" s="68">
        <f>F130</f>
        <v>1499999.42</v>
      </c>
      <c r="G129" s="68">
        <f>G130</f>
        <v>1499862.88</v>
      </c>
      <c r="H129" s="68">
        <f>(G129/F129)*100</f>
        <v>99.99089732981363</v>
      </c>
      <c r="I129" s="68">
        <f>I130</f>
        <v>69631.94</v>
      </c>
      <c r="J129" s="68">
        <v>69631.94</v>
      </c>
      <c r="K129" s="68"/>
      <c r="L129" s="68">
        <f t="shared" si="6"/>
        <v>1569631.3599999999</v>
      </c>
      <c r="M129" s="68">
        <f t="shared" si="7"/>
        <v>1569494.8199999998</v>
      </c>
      <c r="N129" s="179">
        <f t="shared" si="8"/>
        <v>99.99130114219939</v>
      </c>
    </row>
    <row r="130" spans="1:14" ht="12.75">
      <c r="A130" s="64" t="s">
        <v>315</v>
      </c>
      <c r="B130" s="74" t="s">
        <v>122</v>
      </c>
      <c r="C130" s="67" t="s">
        <v>390</v>
      </c>
      <c r="D130" s="67">
        <v>200</v>
      </c>
      <c r="E130" s="69" t="s">
        <v>246</v>
      </c>
      <c r="F130" s="68">
        <v>1499999.42</v>
      </c>
      <c r="G130" s="68">
        <v>1499862.88</v>
      </c>
      <c r="H130" s="68">
        <f>(G130/F130)*100</f>
        <v>99.99089732981363</v>
      </c>
      <c r="I130" s="68">
        <v>69631.94</v>
      </c>
      <c r="J130" s="68">
        <v>69631.94</v>
      </c>
      <c r="K130" s="68"/>
      <c r="L130" s="68">
        <f t="shared" si="6"/>
        <v>1569631.3599999999</v>
      </c>
      <c r="M130" s="68">
        <f t="shared" si="7"/>
        <v>1569494.8199999998</v>
      </c>
      <c r="N130" s="179">
        <f t="shared" si="8"/>
        <v>99.99130114219939</v>
      </c>
    </row>
    <row r="131" spans="1:14" ht="12.75">
      <c r="A131" s="64" t="s">
        <v>315</v>
      </c>
      <c r="B131" s="74" t="s">
        <v>122</v>
      </c>
      <c r="C131" s="67" t="s">
        <v>197</v>
      </c>
      <c r="D131" s="67"/>
      <c r="E131" s="69" t="s">
        <v>190</v>
      </c>
      <c r="F131" s="68">
        <f>F132</f>
        <v>2159870.85</v>
      </c>
      <c r="G131" s="68">
        <f>G132</f>
        <v>2159870.85</v>
      </c>
      <c r="H131" s="68">
        <f>(G131/F131)*100</f>
        <v>100</v>
      </c>
      <c r="I131" s="68"/>
      <c r="J131" s="68"/>
      <c r="K131" s="68"/>
      <c r="L131" s="68">
        <f t="shared" si="6"/>
        <v>2159870.85</v>
      </c>
      <c r="M131" s="68">
        <f t="shared" si="7"/>
        <v>2159870.85</v>
      </c>
      <c r="N131" s="179">
        <f t="shared" si="8"/>
        <v>100</v>
      </c>
    </row>
    <row r="132" spans="1:14" ht="33.75">
      <c r="A132" s="64" t="s">
        <v>315</v>
      </c>
      <c r="B132" s="74" t="s">
        <v>122</v>
      </c>
      <c r="C132" s="67" t="s">
        <v>197</v>
      </c>
      <c r="D132" s="67">
        <v>100</v>
      </c>
      <c r="E132" s="69" t="s">
        <v>320</v>
      </c>
      <c r="F132" s="68">
        <v>2159870.85</v>
      </c>
      <c r="G132" s="68">
        <v>2159870.85</v>
      </c>
      <c r="H132" s="68">
        <f>(G132/F132)*100</f>
        <v>100</v>
      </c>
      <c r="I132" s="68"/>
      <c r="J132" s="68"/>
      <c r="K132" s="68"/>
      <c r="L132" s="68">
        <f t="shared" si="6"/>
        <v>2159870.85</v>
      </c>
      <c r="M132" s="68">
        <f t="shared" si="7"/>
        <v>2159870.85</v>
      </c>
      <c r="N132" s="179">
        <f t="shared" si="8"/>
        <v>100</v>
      </c>
    </row>
    <row r="133" spans="1:14" ht="22.5">
      <c r="A133" s="64" t="s">
        <v>315</v>
      </c>
      <c r="B133" s="74" t="s">
        <v>122</v>
      </c>
      <c r="C133" s="67" t="s">
        <v>356</v>
      </c>
      <c r="D133" s="67"/>
      <c r="E133" s="69" t="s">
        <v>200</v>
      </c>
      <c r="F133" s="68">
        <f>F134</f>
        <v>0</v>
      </c>
      <c r="G133" s="68"/>
      <c r="H133" s="68"/>
      <c r="I133" s="68">
        <f>I134</f>
        <v>54748.95</v>
      </c>
      <c r="J133" s="68">
        <f>J134</f>
        <v>54748.95</v>
      </c>
      <c r="K133" s="68">
        <f t="shared" si="5"/>
        <v>100</v>
      </c>
      <c r="L133" s="68">
        <f t="shared" si="6"/>
        <v>54748.95</v>
      </c>
      <c r="M133" s="68">
        <f t="shared" si="7"/>
        <v>54748.95</v>
      </c>
      <c r="N133" s="179">
        <f t="shared" si="8"/>
        <v>100</v>
      </c>
    </row>
    <row r="134" spans="1:14" ht="12.75">
      <c r="A134" s="64" t="s">
        <v>315</v>
      </c>
      <c r="B134" s="74" t="s">
        <v>122</v>
      </c>
      <c r="C134" s="67" t="s">
        <v>356</v>
      </c>
      <c r="D134" s="67">
        <v>200</v>
      </c>
      <c r="E134" s="69" t="s">
        <v>246</v>
      </c>
      <c r="F134" s="68"/>
      <c r="G134" s="68"/>
      <c r="H134" s="68"/>
      <c r="I134" s="68">
        <v>54748.95</v>
      </c>
      <c r="J134" s="68">
        <v>54748.95</v>
      </c>
      <c r="K134" s="68">
        <f t="shared" si="5"/>
        <v>100</v>
      </c>
      <c r="L134" s="68">
        <f t="shared" si="6"/>
        <v>54748.95</v>
      </c>
      <c r="M134" s="68">
        <f t="shared" si="7"/>
        <v>54748.95</v>
      </c>
      <c r="N134" s="179">
        <f t="shared" si="8"/>
        <v>100</v>
      </c>
    </row>
    <row r="135" spans="1:14" s="181" customFormat="1" ht="12.75">
      <c r="A135" s="66" t="s">
        <v>315</v>
      </c>
      <c r="B135" s="70" t="s">
        <v>124</v>
      </c>
      <c r="C135" s="172"/>
      <c r="D135" s="172"/>
      <c r="E135" s="73" t="s">
        <v>125</v>
      </c>
      <c r="F135" s="72">
        <f>F136+F139</f>
        <v>1882800</v>
      </c>
      <c r="G135" s="72">
        <f>G139</f>
        <v>1876614.74</v>
      </c>
      <c r="H135" s="72">
        <f>(G135/F135)*100</f>
        <v>99.67148608455491</v>
      </c>
      <c r="I135" s="72">
        <f>I136+I139</f>
        <v>1451101.94</v>
      </c>
      <c r="J135" s="72">
        <f>J136+J139</f>
        <v>1451002</v>
      </c>
      <c r="K135" s="72">
        <f t="shared" si="5"/>
        <v>99.99311282017858</v>
      </c>
      <c r="L135" s="72">
        <f t="shared" si="6"/>
        <v>3333901.94</v>
      </c>
      <c r="M135" s="72">
        <f t="shared" si="7"/>
        <v>3327616.74</v>
      </c>
      <c r="N135" s="180">
        <f t="shared" si="8"/>
        <v>99.8114761587739</v>
      </c>
    </row>
    <row r="136" spans="1:14" s="181" customFormat="1" ht="12.75">
      <c r="A136" s="66" t="s">
        <v>315</v>
      </c>
      <c r="B136" s="70" t="s">
        <v>126</v>
      </c>
      <c r="C136" s="79"/>
      <c r="D136" s="79"/>
      <c r="E136" s="80" t="s">
        <v>127</v>
      </c>
      <c r="F136" s="72">
        <f>F137</f>
        <v>0</v>
      </c>
      <c r="G136" s="72"/>
      <c r="H136" s="72"/>
      <c r="I136" s="72">
        <f>I137</f>
        <v>169632</v>
      </c>
      <c r="J136" s="72">
        <f>J137</f>
        <v>169632</v>
      </c>
      <c r="K136" s="72">
        <f t="shared" si="5"/>
        <v>100</v>
      </c>
      <c r="L136" s="72">
        <f t="shared" si="6"/>
        <v>169632</v>
      </c>
      <c r="M136" s="72">
        <f t="shared" si="7"/>
        <v>169632</v>
      </c>
      <c r="N136" s="180">
        <f t="shared" si="8"/>
        <v>100</v>
      </c>
    </row>
    <row r="137" spans="1:14" ht="22.5">
      <c r="A137" s="64" t="s">
        <v>315</v>
      </c>
      <c r="B137" s="74" t="s">
        <v>126</v>
      </c>
      <c r="C137" s="67" t="s">
        <v>357</v>
      </c>
      <c r="D137" s="67"/>
      <c r="E137" s="69" t="s">
        <v>163</v>
      </c>
      <c r="F137" s="72"/>
      <c r="G137" s="72"/>
      <c r="H137" s="68"/>
      <c r="I137" s="68">
        <f>I138</f>
        <v>169632</v>
      </c>
      <c r="J137" s="68">
        <f>J138</f>
        <v>169632</v>
      </c>
      <c r="K137" s="68">
        <f t="shared" si="5"/>
        <v>100</v>
      </c>
      <c r="L137" s="68">
        <f t="shared" si="6"/>
        <v>169632</v>
      </c>
      <c r="M137" s="68">
        <f t="shared" si="7"/>
        <v>169632</v>
      </c>
      <c r="N137" s="179">
        <f t="shared" si="8"/>
        <v>100</v>
      </c>
    </row>
    <row r="138" spans="1:14" ht="12.75">
      <c r="A138" s="64" t="s">
        <v>315</v>
      </c>
      <c r="B138" s="74" t="s">
        <v>126</v>
      </c>
      <c r="C138" s="67" t="s">
        <v>357</v>
      </c>
      <c r="D138" s="67">
        <v>300</v>
      </c>
      <c r="E138" s="78" t="s">
        <v>162</v>
      </c>
      <c r="F138" s="72"/>
      <c r="G138" s="72"/>
      <c r="H138" s="68"/>
      <c r="I138" s="68">
        <v>169632</v>
      </c>
      <c r="J138" s="68">
        <v>169632</v>
      </c>
      <c r="K138" s="68">
        <f t="shared" si="5"/>
        <v>100</v>
      </c>
      <c r="L138" s="68">
        <f t="shared" si="6"/>
        <v>169632</v>
      </c>
      <c r="M138" s="68">
        <f t="shared" si="7"/>
        <v>169632</v>
      </c>
      <c r="N138" s="179">
        <f t="shared" si="8"/>
        <v>100</v>
      </c>
    </row>
    <row r="139" spans="1:14" s="181" customFormat="1" ht="12.75">
      <c r="A139" s="66" t="s">
        <v>315</v>
      </c>
      <c r="B139" s="70" t="s">
        <v>128</v>
      </c>
      <c r="C139" s="79"/>
      <c r="D139" s="79"/>
      <c r="E139" s="80" t="s">
        <v>129</v>
      </c>
      <c r="F139" s="72">
        <f>F140+F146</f>
        <v>1882800</v>
      </c>
      <c r="G139" s="72">
        <f>G140+G146</f>
        <v>1876614.74</v>
      </c>
      <c r="H139" s="72">
        <f>(G139/F139)*100</f>
        <v>99.67148608455491</v>
      </c>
      <c r="I139" s="72">
        <f>I140+I142+I144</f>
        <v>1281469.94</v>
      </c>
      <c r="J139" s="72">
        <f>J140+J142+J144</f>
        <v>1281370</v>
      </c>
      <c r="K139" s="72">
        <f t="shared" si="5"/>
        <v>99.99220114363354</v>
      </c>
      <c r="L139" s="72">
        <f t="shared" si="6"/>
        <v>3164269.94</v>
      </c>
      <c r="M139" s="72">
        <f t="shared" si="7"/>
        <v>3157984.74</v>
      </c>
      <c r="N139" s="180">
        <f t="shared" si="8"/>
        <v>99.80136966443514</v>
      </c>
    </row>
    <row r="140" spans="1:14" ht="22.5">
      <c r="A140" s="64" t="s">
        <v>315</v>
      </c>
      <c r="B140" s="74" t="s">
        <v>128</v>
      </c>
      <c r="C140" s="67" t="s">
        <v>409</v>
      </c>
      <c r="D140" s="67"/>
      <c r="E140" s="69" t="s">
        <v>358</v>
      </c>
      <c r="F140" s="68">
        <f>F141</f>
        <v>1844700</v>
      </c>
      <c r="G140" s="68">
        <f>G141</f>
        <v>1838514.74</v>
      </c>
      <c r="H140" s="68">
        <f>(G140/F140)*100</f>
        <v>99.6647010353987</v>
      </c>
      <c r="I140" s="68">
        <f>I141</f>
        <v>1046607.2</v>
      </c>
      <c r="J140" s="68">
        <f>J141</f>
        <v>1046507.26</v>
      </c>
      <c r="K140" s="68">
        <f t="shared" si="5"/>
        <v>99.99045104983036</v>
      </c>
      <c r="L140" s="68">
        <f t="shared" si="6"/>
        <v>2891307.2</v>
      </c>
      <c r="M140" s="68">
        <f t="shared" si="7"/>
        <v>2885022</v>
      </c>
      <c r="N140" s="179">
        <f t="shared" si="8"/>
        <v>99.78261735729775</v>
      </c>
    </row>
    <row r="141" spans="1:14" ht="12.75">
      <c r="A141" s="64" t="s">
        <v>315</v>
      </c>
      <c r="B141" s="74" t="s">
        <v>128</v>
      </c>
      <c r="C141" s="67" t="s">
        <v>409</v>
      </c>
      <c r="D141" s="76">
        <v>300</v>
      </c>
      <c r="E141" s="78" t="s">
        <v>162</v>
      </c>
      <c r="F141" s="68">
        <v>1844700</v>
      </c>
      <c r="G141" s="68">
        <v>1838514.74</v>
      </c>
      <c r="H141" s="68">
        <f>(G141/F141)*100</f>
        <v>99.6647010353987</v>
      </c>
      <c r="I141" s="68">
        <v>1046607.2</v>
      </c>
      <c r="J141" s="68">
        <v>1046507.26</v>
      </c>
      <c r="K141" s="68">
        <f t="shared" si="5"/>
        <v>99.99045104983036</v>
      </c>
      <c r="L141" s="68">
        <f t="shared" si="6"/>
        <v>2891307.2</v>
      </c>
      <c r="M141" s="68">
        <f t="shared" si="7"/>
        <v>2885022</v>
      </c>
      <c r="N141" s="179">
        <f t="shared" si="8"/>
        <v>99.78261735729775</v>
      </c>
    </row>
    <row r="142" spans="1:14" ht="12.75">
      <c r="A142" s="64" t="s">
        <v>315</v>
      </c>
      <c r="B142" s="74" t="s">
        <v>128</v>
      </c>
      <c r="C142" s="76" t="s">
        <v>359</v>
      </c>
      <c r="D142" s="76"/>
      <c r="E142" s="69" t="s">
        <v>360</v>
      </c>
      <c r="F142" s="68"/>
      <c r="G142" s="68"/>
      <c r="H142" s="68"/>
      <c r="I142" s="68">
        <f>I143</f>
        <v>205862.74</v>
      </c>
      <c r="J142" s="68">
        <f>J143</f>
        <v>205862.74</v>
      </c>
      <c r="K142" s="68">
        <f t="shared" si="5"/>
        <v>100</v>
      </c>
      <c r="L142" s="68">
        <f t="shared" si="6"/>
        <v>205862.74</v>
      </c>
      <c r="M142" s="68">
        <f t="shared" si="7"/>
        <v>205862.74</v>
      </c>
      <c r="N142" s="179">
        <f t="shared" si="8"/>
        <v>100</v>
      </c>
    </row>
    <row r="143" spans="1:14" ht="12.75">
      <c r="A143" s="64" t="s">
        <v>315</v>
      </c>
      <c r="B143" s="74" t="s">
        <v>128</v>
      </c>
      <c r="C143" s="76" t="s">
        <v>359</v>
      </c>
      <c r="D143" s="67">
        <v>200</v>
      </c>
      <c r="E143" s="69" t="s">
        <v>246</v>
      </c>
      <c r="F143" s="68"/>
      <c r="G143" s="68"/>
      <c r="H143" s="68"/>
      <c r="I143" s="68">
        <f>205862.74</f>
        <v>205862.74</v>
      </c>
      <c r="J143" s="68">
        <v>205862.74</v>
      </c>
      <c r="K143" s="68">
        <f t="shared" si="5"/>
        <v>100</v>
      </c>
      <c r="L143" s="68">
        <f t="shared" si="6"/>
        <v>205862.74</v>
      </c>
      <c r="M143" s="68">
        <f t="shared" si="7"/>
        <v>205862.74</v>
      </c>
      <c r="N143" s="179">
        <f t="shared" si="8"/>
        <v>100</v>
      </c>
    </row>
    <row r="144" spans="1:14" ht="12.75">
      <c r="A144" s="64" t="s">
        <v>315</v>
      </c>
      <c r="B144" s="74" t="s">
        <v>128</v>
      </c>
      <c r="C144" s="76" t="s">
        <v>361</v>
      </c>
      <c r="D144" s="76"/>
      <c r="E144" s="69" t="s">
        <v>160</v>
      </c>
      <c r="F144" s="68"/>
      <c r="G144" s="68"/>
      <c r="H144" s="68"/>
      <c r="I144" s="68">
        <f>I145</f>
        <v>29000</v>
      </c>
      <c r="J144" s="68">
        <f>J145</f>
        <v>29000</v>
      </c>
      <c r="K144" s="68">
        <f t="shared" si="5"/>
        <v>100</v>
      </c>
      <c r="L144" s="68">
        <f t="shared" si="6"/>
        <v>29000</v>
      </c>
      <c r="M144" s="68">
        <f t="shared" si="7"/>
        <v>29000</v>
      </c>
      <c r="N144" s="179">
        <f t="shared" si="8"/>
        <v>100</v>
      </c>
    </row>
    <row r="145" spans="1:14" ht="12.75">
      <c r="A145" s="64" t="s">
        <v>315</v>
      </c>
      <c r="B145" s="74" t="s">
        <v>128</v>
      </c>
      <c r="C145" s="76" t="s">
        <v>361</v>
      </c>
      <c r="D145" s="76">
        <v>300</v>
      </c>
      <c r="E145" s="69" t="s">
        <v>162</v>
      </c>
      <c r="F145" s="68"/>
      <c r="G145" s="68"/>
      <c r="H145" s="68"/>
      <c r="I145" s="68">
        <v>29000</v>
      </c>
      <c r="J145" s="68">
        <v>29000</v>
      </c>
      <c r="K145" s="68">
        <f t="shared" si="5"/>
        <v>100</v>
      </c>
      <c r="L145" s="68">
        <f t="shared" si="6"/>
        <v>29000</v>
      </c>
      <c r="M145" s="68">
        <f t="shared" si="7"/>
        <v>29000</v>
      </c>
      <c r="N145" s="179">
        <f t="shared" si="8"/>
        <v>100</v>
      </c>
    </row>
    <row r="146" spans="1:14" ht="12.75">
      <c r="A146" s="64" t="s">
        <v>315</v>
      </c>
      <c r="B146" s="74" t="s">
        <v>128</v>
      </c>
      <c r="C146" s="76" t="s">
        <v>422</v>
      </c>
      <c r="D146" s="76"/>
      <c r="E146" s="69" t="s">
        <v>360</v>
      </c>
      <c r="F146" s="68">
        <f>F147</f>
        <v>38100</v>
      </c>
      <c r="G146" s="68">
        <f>G147</f>
        <v>38100</v>
      </c>
      <c r="H146" s="68"/>
      <c r="I146" s="68"/>
      <c r="J146" s="68"/>
      <c r="K146" s="68"/>
      <c r="L146" s="68"/>
      <c r="M146" s="68"/>
      <c r="N146" s="179"/>
    </row>
    <row r="147" spans="1:14" ht="12.75">
      <c r="A147" s="64" t="s">
        <v>315</v>
      </c>
      <c r="B147" s="74" t="s">
        <v>128</v>
      </c>
      <c r="C147" s="76" t="s">
        <v>422</v>
      </c>
      <c r="D147" s="67">
        <v>200</v>
      </c>
      <c r="E147" s="69" t="s">
        <v>246</v>
      </c>
      <c r="F147" s="68">
        <v>38100</v>
      </c>
      <c r="G147" s="68">
        <v>38100</v>
      </c>
      <c r="H147" s="68"/>
      <c r="I147" s="68"/>
      <c r="J147" s="68"/>
      <c r="K147" s="68"/>
      <c r="L147" s="68"/>
      <c r="M147" s="68"/>
      <c r="N147" s="179"/>
    </row>
    <row r="148" spans="1:14" s="181" customFormat="1" ht="12.75">
      <c r="A148" s="66" t="s">
        <v>315</v>
      </c>
      <c r="B148" s="70" t="s">
        <v>130</v>
      </c>
      <c r="C148" s="172"/>
      <c r="D148" s="172"/>
      <c r="E148" s="73" t="s">
        <v>131</v>
      </c>
      <c r="F148" s="72">
        <f>SUM(F149)</f>
        <v>785412</v>
      </c>
      <c r="G148" s="72">
        <f>G149</f>
        <v>785411.36</v>
      </c>
      <c r="H148" s="72">
        <f>(G148/F148)*100</f>
        <v>99.9999185141047</v>
      </c>
      <c r="I148" s="72">
        <f>SUM(I149)</f>
        <v>815711.95</v>
      </c>
      <c r="J148" s="72">
        <f>J149</f>
        <v>663021.95</v>
      </c>
      <c r="K148" s="72">
        <f t="shared" si="5"/>
        <v>81.28138247821427</v>
      </c>
      <c r="L148" s="72">
        <f t="shared" si="6"/>
        <v>1601123.95</v>
      </c>
      <c r="M148" s="72">
        <f t="shared" si="7"/>
        <v>1448433.31</v>
      </c>
      <c r="N148" s="180">
        <f t="shared" si="8"/>
        <v>90.46353406930177</v>
      </c>
    </row>
    <row r="149" spans="1:14" s="181" customFormat="1" ht="12.75">
      <c r="A149" s="66" t="s">
        <v>315</v>
      </c>
      <c r="B149" s="66" t="s">
        <v>132</v>
      </c>
      <c r="C149" s="171"/>
      <c r="D149" s="171"/>
      <c r="E149" s="80" t="s">
        <v>362</v>
      </c>
      <c r="F149" s="72">
        <f>F150+F152+F154</f>
        <v>785412</v>
      </c>
      <c r="G149" s="72">
        <f>G154</f>
        <v>785411.36</v>
      </c>
      <c r="H149" s="72">
        <f>(G149/F149)*100</f>
        <v>99.9999185141047</v>
      </c>
      <c r="I149" s="72">
        <f>I150+I152</f>
        <v>815711.95</v>
      </c>
      <c r="J149" s="72">
        <f>J152</f>
        <v>663021.95</v>
      </c>
      <c r="K149" s="72">
        <f t="shared" si="5"/>
        <v>81.28138247821427</v>
      </c>
      <c r="L149" s="72">
        <f t="shared" si="6"/>
        <v>1601123.95</v>
      </c>
      <c r="M149" s="72">
        <f t="shared" si="7"/>
        <v>1448433.31</v>
      </c>
      <c r="N149" s="180">
        <f t="shared" si="8"/>
        <v>90.46353406930177</v>
      </c>
    </row>
    <row r="150" spans="1:14" ht="22.5">
      <c r="A150" s="64" t="s">
        <v>315</v>
      </c>
      <c r="B150" s="64" t="s">
        <v>132</v>
      </c>
      <c r="C150" s="67" t="s">
        <v>363</v>
      </c>
      <c r="D150" s="67"/>
      <c r="E150" s="69" t="s">
        <v>208</v>
      </c>
      <c r="F150" s="68"/>
      <c r="G150" s="68"/>
      <c r="H150" s="68"/>
      <c r="I150" s="68">
        <f>I151</f>
        <v>0</v>
      </c>
      <c r="J150" s="68"/>
      <c r="K150" s="68"/>
      <c r="L150" s="68">
        <f t="shared" si="6"/>
        <v>0</v>
      </c>
      <c r="M150" s="68">
        <f t="shared" si="7"/>
        <v>0</v>
      </c>
      <c r="N150" s="179"/>
    </row>
    <row r="151" spans="1:14" ht="12.75">
      <c r="A151" s="64" t="s">
        <v>315</v>
      </c>
      <c r="B151" s="64"/>
      <c r="C151" s="67" t="s">
        <v>363</v>
      </c>
      <c r="D151" s="67">
        <v>200</v>
      </c>
      <c r="E151" s="69" t="s">
        <v>246</v>
      </c>
      <c r="F151" s="68"/>
      <c r="G151" s="68"/>
      <c r="H151" s="68"/>
      <c r="I151" s="68">
        <v>0</v>
      </c>
      <c r="J151" s="68"/>
      <c r="K151" s="68"/>
      <c r="L151" s="68">
        <f t="shared" si="6"/>
        <v>0</v>
      </c>
      <c r="M151" s="68">
        <f t="shared" si="7"/>
        <v>0</v>
      </c>
      <c r="N151" s="179"/>
    </row>
    <row r="152" spans="1:14" ht="22.5">
      <c r="A152" s="64" t="s">
        <v>315</v>
      </c>
      <c r="B152" s="64" t="s">
        <v>132</v>
      </c>
      <c r="C152" s="67" t="s">
        <v>364</v>
      </c>
      <c r="D152" s="67"/>
      <c r="E152" s="69" t="s">
        <v>212</v>
      </c>
      <c r="F152" s="68"/>
      <c r="G152" s="68"/>
      <c r="H152" s="68"/>
      <c r="I152" s="68">
        <f>I153</f>
        <v>815711.95</v>
      </c>
      <c r="J152" s="68">
        <f>J153</f>
        <v>663021.95</v>
      </c>
      <c r="K152" s="68">
        <f t="shared" si="5"/>
        <v>81.28138247821427</v>
      </c>
      <c r="L152" s="68">
        <f t="shared" si="6"/>
        <v>815711.95</v>
      </c>
      <c r="M152" s="68">
        <f t="shared" si="7"/>
        <v>663021.95</v>
      </c>
      <c r="N152" s="179">
        <f t="shared" si="8"/>
        <v>81.28138247821427</v>
      </c>
    </row>
    <row r="153" spans="1:14" ht="12.75">
      <c r="A153" s="64" t="s">
        <v>315</v>
      </c>
      <c r="B153" s="64" t="s">
        <v>132</v>
      </c>
      <c r="C153" s="67" t="s">
        <v>364</v>
      </c>
      <c r="D153" s="67">
        <v>200</v>
      </c>
      <c r="E153" s="69" t="s">
        <v>246</v>
      </c>
      <c r="F153" s="68"/>
      <c r="G153" s="68"/>
      <c r="H153" s="68"/>
      <c r="I153" s="68">
        <v>815711.95</v>
      </c>
      <c r="J153" s="68">
        <v>663021.95</v>
      </c>
      <c r="K153" s="68">
        <f t="shared" si="5"/>
        <v>81.28138247821427</v>
      </c>
      <c r="L153" s="68">
        <f t="shared" si="6"/>
        <v>815711.95</v>
      </c>
      <c r="M153" s="68">
        <f t="shared" si="7"/>
        <v>663021.95</v>
      </c>
      <c r="N153" s="179">
        <f t="shared" si="8"/>
        <v>81.28138247821427</v>
      </c>
    </row>
    <row r="154" spans="1:14" ht="22.5">
      <c r="A154" s="64" t="s">
        <v>315</v>
      </c>
      <c r="B154" s="64" t="s">
        <v>132</v>
      </c>
      <c r="C154" s="67" t="s">
        <v>413</v>
      </c>
      <c r="D154" s="67"/>
      <c r="E154" s="69" t="s">
        <v>391</v>
      </c>
      <c r="F154" s="68">
        <f>F155</f>
        <v>785412</v>
      </c>
      <c r="G154" s="68">
        <f>G155</f>
        <v>785411.36</v>
      </c>
      <c r="H154" s="68">
        <f>(G154/F154)*100</f>
        <v>99.9999185141047</v>
      </c>
      <c r="I154" s="68"/>
      <c r="J154" s="68"/>
      <c r="K154" s="68"/>
      <c r="L154" s="68">
        <f t="shared" si="6"/>
        <v>785412</v>
      </c>
      <c r="M154" s="68">
        <f t="shared" si="7"/>
        <v>785411.36</v>
      </c>
      <c r="N154" s="179">
        <f t="shared" si="8"/>
        <v>99.9999185141047</v>
      </c>
    </row>
    <row r="155" spans="1:14" ht="12.75">
      <c r="A155" s="64" t="s">
        <v>315</v>
      </c>
      <c r="B155" s="64" t="s">
        <v>132</v>
      </c>
      <c r="C155" s="67" t="s">
        <v>413</v>
      </c>
      <c r="D155" s="67">
        <v>400</v>
      </c>
      <c r="E155" s="69" t="s">
        <v>392</v>
      </c>
      <c r="F155" s="68">
        <v>785412</v>
      </c>
      <c r="G155" s="68">
        <v>785411.36</v>
      </c>
      <c r="H155" s="68">
        <f>(G155/F155)*100</f>
        <v>99.9999185141047</v>
      </c>
      <c r="I155" s="68"/>
      <c r="J155" s="68"/>
      <c r="K155" s="68"/>
      <c r="L155" s="68">
        <f t="shared" si="6"/>
        <v>785412</v>
      </c>
      <c r="M155" s="68">
        <f t="shared" si="7"/>
        <v>785411.36</v>
      </c>
      <c r="N155" s="179">
        <f t="shared" si="8"/>
        <v>99.9999185141047</v>
      </c>
    </row>
    <row r="156" spans="1:14" s="181" customFormat="1" ht="12.75">
      <c r="A156" s="183"/>
      <c r="B156" s="66"/>
      <c r="C156" s="171"/>
      <c r="D156" s="171"/>
      <c r="E156" s="73" t="s">
        <v>365</v>
      </c>
      <c r="F156" s="72">
        <f>F11+F45+F59+F76+F114+F118+F135+F148</f>
        <v>11678518.799999999</v>
      </c>
      <c r="G156" s="72">
        <f>G45+G59+G76+G118+G135+G148</f>
        <v>11002766.129999999</v>
      </c>
      <c r="H156" s="72">
        <f>(G156/F156)*100</f>
        <v>94.21371253005132</v>
      </c>
      <c r="I156" s="72">
        <f>I11+I45+I49+I59+I76+I114+I118+I135+I148</f>
        <v>57587306.480000004</v>
      </c>
      <c r="J156" s="72">
        <f>J11+J45+J49+J59+J76+J114+J118+J135+J148</f>
        <v>52829212.46000001</v>
      </c>
      <c r="K156" s="72">
        <f t="shared" si="5"/>
        <v>91.73759928908555</v>
      </c>
      <c r="L156" s="72">
        <f t="shared" si="6"/>
        <v>69265825.28</v>
      </c>
      <c r="M156" s="72">
        <f t="shared" si="7"/>
        <v>63831978.59</v>
      </c>
      <c r="N156" s="180">
        <f t="shared" si="8"/>
        <v>92.15508272942071</v>
      </c>
    </row>
    <row r="157" spans="1:13" ht="13.5">
      <c r="A157" s="175"/>
      <c r="B157" s="173"/>
      <c r="C157" s="173"/>
      <c r="D157" s="173"/>
      <c r="E157" s="81"/>
      <c r="F157" s="82"/>
      <c r="G157" s="82"/>
      <c r="H157" s="82"/>
      <c r="I157" s="82"/>
      <c r="J157" s="83"/>
      <c r="K157" s="82"/>
      <c r="L157" s="82"/>
      <c r="M157" s="83">
        <f>63831978.59-M156</f>
        <v>0</v>
      </c>
    </row>
    <row r="158" spans="1:10" ht="12.75">
      <c r="A158" s="175"/>
      <c r="B158" s="177"/>
      <c r="C158" s="177"/>
      <c r="D158" s="177"/>
      <c r="E158" s="175"/>
      <c r="F158" s="178"/>
      <c r="G158" s="178"/>
      <c r="H158" s="178"/>
      <c r="I158" s="178"/>
      <c r="J158" s="182"/>
    </row>
    <row r="159" spans="1:12" ht="12.75">
      <c r="A159" s="175"/>
      <c r="B159" s="175"/>
      <c r="C159" s="175"/>
      <c r="D159" s="175"/>
      <c r="E159" s="175"/>
      <c r="F159" s="178"/>
      <c r="G159" s="178"/>
      <c r="H159" s="178"/>
      <c r="I159" s="178"/>
      <c r="J159" s="178"/>
      <c r="L159" s="174">
        <f>69265825.28-L156</f>
        <v>0</v>
      </c>
    </row>
    <row r="160" spans="1:10" ht="12.75">
      <c r="A160" s="175"/>
      <c r="B160" s="175"/>
      <c r="C160" s="175"/>
      <c r="D160" s="175"/>
      <c r="E160" s="175"/>
      <c r="F160" s="178"/>
      <c r="G160" s="178"/>
      <c r="H160" s="178"/>
      <c r="I160" s="178"/>
      <c r="J160" s="178"/>
    </row>
  </sheetData>
  <sheetProtection/>
  <mergeCells count="11">
    <mergeCell ref="B10:E10"/>
    <mergeCell ref="F7:H7"/>
    <mergeCell ref="I7:K7"/>
    <mergeCell ref="L7:N7"/>
    <mergeCell ref="A3:N3"/>
    <mergeCell ref="H1:N1"/>
    <mergeCell ref="A7:A8"/>
    <mergeCell ref="B7:B8"/>
    <mergeCell ref="C7:C8"/>
    <mergeCell ref="D7:D8"/>
    <mergeCell ref="E7:E8"/>
  </mergeCell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7" r:id="rId1"/>
  <rowBreaks count="2" manualBreakCount="2">
    <brk id="44" max="13" man="1"/>
    <brk id="10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5.8515625" style="87" customWidth="1"/>
    <col min="2" max="2" width="21.421875" style="87" customWidth="1"/>
    <col min="3" max="3" width="43.140625" style="87" customWidth="1"/>
    <col min="4" max="4" width="31.8515625" style="87" bestFit="1" customWidth="1"/>
    <col min="5" max="5" width="14.8515625" style="87" customWidth="1"/>
    <col min="6" max="6" width="8.00390625" style="87" bestFit="1" customWidth="1"/>
    <col min="7" max="16384" width="9.140625" style="87" customWidth="1"/>
  </cols>
  <sheetData>
    <row r="1" ht="15">
      <c r="D1" s="88" t="s">
        <v>428</v>
      </c>
    </row>
    <row r="2" ht="15">
      <c r="D2" s="89" t="s">
        <v>366</v>
      </c>
    </row>
    <row r="3" ht="15">
      <c r="D3" s="89" t="s">
        <v>367</v>
      </c>
    </row>
    <row r="4" ht="15">
      <c r="D4" s="89" t="s">
        <v>449</v>
      </c>
    </row>
    <row r="5" ht="15.75">
      <c r="D5" s="84"/>
    </row>
    <row r="6" spans="1:4" ht="15">
      <c r="A6" s="217" t="s">
        <v>368</v>
      </c>
      <c r="B6" s="217"/>
      <c r="C6" s="217"/>
      <c r="D6" s="217"/>
    </row>
    <row r="7" spans="1:4" ht="15">
      <c r="A7" s="217" t="s">
        <v>369</v>
      </c>
      <c r="B7" s="217"/>
      <c r="C7" s="217"/>
      <c r="D7" s="217"/>
    </row>
    <row r="8" spans="1:4" ht="15">
      <c r="A8" s="217" t="s">
        <v>450</v>
      </c>
      <c r="B8" s="217"/>
      <c r="C8" s="217"/>
      <c r="D8" s="217"/>
    </row>
    <row r="10" spans="1:6" ht="39.75" customHeight="1">
      <c r="A10" s="85" t="s">
        <v>370</v>
      </c>
      <c r="B10" s="85" t="s">
        <v>371</v>
      </c>
      <c r="C10" s="86" t="s">
        <v>136</v>
      </c>
      <c r="D10" s="85" t="s">
        <v>400</v>
      </c>
      <c r="E10" s="186" t="s">
        <v>451</v>
      </c>
      <c r="F10" s="85"/>
    </row>
    <row r="11" spans="1:6" ht="15.75" hidden="1">
      <c r="A11" s="85">
        <v>1</v>
      </c>
      <c r="B11" s="85">
        <v>2</v>
      </c>
      <c r="C11" s="86">
        <v>3</v>
      </c>
      <c r="D11" s="85">
        <v>4</v>
      </c>
      <c r="E11" s="85"/>
      <c r="F11" s="85"/>
    </row>
    <row r="12" spans="1:6" ht="25.5">
      <c r="A12" s="86">
        <v>1</v>
      </c>
      <c r="B12" s="90" t="s">
        <v>372</v>
      </c>
      <c r="C12" s="91" t="s">
        <v>373</v>
      </c>
      <c r="D12" s="92">
        <f>D14-D13</f>
        <v>2335355.9100000113</v>
      </c>
      <c r="E12" s="92">
        <f>E14-E13</f>
        <v>2023241.890000008</v>
      </c>
      <c r="F12" s="92"/>
    </row>
    <row r="13" spans="1:6" ht="25.5">
      <c r="A13" s="86">
        <v>2</v>
      </c>
      <c r="B13" s="93" t="s">
        <v>374</v>
      </c>
      <c r="C13" s="94" t="s">
        <v>375</v>
      </c>
      <c r="D13" s="92">
        <f>'доходы (прил.1)'!C52</f>
        <v>66930469.36999999</v>
      </c>
      <c r="E13" s="92">
        <f>'доходы (прил.1)'!D52</f>
        <v>61808736.7</v>
      </c>
      <c r="F13" s="92"/>
    </row>
    <row r="14" spans="1:6" ht="25.5">
      <c r="A14" s="86">
        <v>3</v>
      </c>
      <c r="B14" s="93" t="s">
        <v>376</v>
      </c>
      <c r="C14" s="94" t="s">
        <v>377</v>
      </c>
      <c r="D14" s="92">
        <f>'расходы (прил.2)'!I46</f>
        <v>69265825.28</v>
      </c>
      <c r="E14" s="92">
        <f>'расходы (прил.2)'!J46</f>
        <v>63831978.59000001</v>
      </c>
      <c r="F14" s="92"/>
    </row>
    <row r="15" spans="1:6" ht="25.5">
      <c r="A15" s="95"/>
      <c r="B15" s="93"/>
      <c r="C15" s="96" t="s">
        <v>378</v>
      </c>
      <c r="D15" s="97">
        <f>+D12</f>
        <v>2335355.9100000113</v>
      </c>
      <c r="E15" s="97">
        <f>+E12</f>
        <v>2023241.890000008</v>
      </c>
      <c r="F15" s="97"/>
    </row>
    <row r="17" ht="15" hidden="1">
      <c r="D17" s="98" t="e">
        <f>D13+D12-#REF!</f>
        <v>#REF!</v>
      </c>
    </row>
    <row r="18" ht="15" hidden="1">
      <c r="C18" s="98"/>
    </row>
    <row r="19" ht="15" hidden="1">
      <c r="D19" s="98" t="e">
        <f>D12+D13+#REF!-#REF!</f>
        <v>#REF!</v>
      </c>
    </row>
    <row r="20" ht="15" hidden="1">
      <c r="D20" s="98" t="e">
        <f>#REF!+D12+D13-#REF!-D14</f>
        <v>#REF!</v>
      </c>
    </row>
    <row r="21" ht="15" hidden="1">
      <c r="D21" s="98">
        <f>D14-D13</f>
        <v>2335355.9100000113</v>
      </c>
    </row>
    <row r="22" ht="15" hidden="1"/>
    <row r="23" ht="15" hidden="1">
      <c r="D23" s="87">
        <v>53240296</v>
      </c>
    </row>
    <row r="24" ht="15" hidden="1">
      <c r="D24" s="87">
        <v>46240296</v>
      </c>
    </row>
    <row r="25" ht="15" hidden="1"/>
    <row r="26" ht="15" hidden="1"/>
    <row r="27" ht="15" hidden="1">
      <c r="D27" s="98" t="e">
        <f>D12-#REF!</f>
        <v>#REF!</v>
      </c>
    </row>
    <row r="28" ht="15" hidden="1">
      <c r="D28" s="98" t="e">
        <f>D13-D14-#REF!</f>
        <v>#REF!</v>
      </c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isadicheva</dc:creator>
  <cp:keywords/>
  <dc:description/>
  <cp:lastModifiedBy>Spec12</cp:lastModifiedBy>
  <cp:lastPrinted>2019-03-20T07:19:39Z</cp:lastPrinted>
  <dcterms:created xsi:type="dcterms:W3CDTF">2019-03-20T07:33:58Z</dcterms:created>
  <dcterms:modified xsi:type="dcterms:W3CDTF">2019-03-20T08:13:51Z</dcterms:modified>
  <cp:category/>
  <cp:version/>
  <cp:contentType/>
  <cp:contentStatus/>
</cp:coreProperties>
</file>