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12" windowHeight="6456" tabRatio="603" activeTab="0"/>
  </bookViews>
  <sheets>
    <sheet name="1" sheetId="1" r:id="rId1"/>
    <sheet name="3" sheetId="2" r:id="rId2"/>
    <sheet name="5" sheetId="3" r:id="rId3"/>
    <sheet name="7" sheetId="4" r:id="rId4"/>
    <sheet name="9" sheetId="5" r:id="rId5"/>
  </sheets>
  <externalReferences>
    <externalReference r:id="rId8"/>
  </externalReferences>
  <definedNames>
    <definedName name="_xlnm.Print_Area" localSheetId="0">'1'!$A$1:$C$62</definedName>
    <definedName name="_xlnm.Print_Area" localSheetId="1">'3'!$A$1:$E$50</definedName>
    <definedName name="_xlnm.Print_Area" localSheetId="2">'5'!$A$1:$E$194</definedName>
    <definedName name="_xlnm.Print_Area" localSheetId="3">'7'!$A$1:$I$367</definedName>
  </definedNames>
  <calcPr fullCalcOnLoad="1"/>
</workbook>
</file>

<file path=xl/sharedStrings.xml><?xml version="1.0" encoding="utf-8"?>
<sst xmlns="http://schemas.openxmlformats.org/spreadsheetml/2006/main" count="1431" uniqueCount="669">
  <si>
    <t>экспертиза сметной стоимости + заключение достоверности сметного расчета*</t>
  </si>
  <si>
    <t>экспертиза сметной стоимости+заключение достоверности сметного расчета*</t>
  </si>
  <si>
    <t>Разработка проектно-сметной документации памятника в с.Толгоболь</t>
  </si>
  <si>
    <t>Пешеходная дорожка в парке, освещение (ул.Центральная-ул.Нефтяников) (не менее 30% от стоимости объекта)(Сметная стоимость ~~1 800 т.р.)</t>
  </si>
  <si>
    <t>Обустройство площадки с  тренажерами, устройство навеса в парке рядом с кортом д.Кузнечиха (не менее 30% от стоимости объекта) (Сметная стоимость ~~1 400 т.р.)</t>
  </si>
  <si>
    <t xml:space="preserve">Благоустройство культурно-паркового комплекса в д.Кузнечиха (Устройство памятника) </t>
  </si>
  <si>
    <t>Благоустройство территории перед памятником 3 этап</t>
  </si>
  <si>
    <t>Благоустройство парка "Победы" (нанесение резинового покрытия на деткой площадке и установка МАФов)</t>
  </si>
  <si>
    <t>разбивка по мероприятиям</t>
  </si>
  <si>
    <t>Неисключительные права использования  WEB-системы СБИС (Тензор)</t>
  </si>
  <si>
    <t>2022 год                                  (руб.)</t>
  </si>
  <si>
    <t>подпрограмма "Молодежь"</t>
  </si>
  <si>
    <t>подпрограмма "Социальная поддержка населения Кузнечихинского сельского поселения"</t>
  </si>
  <si>
    <t>подпрограмма "Поддержка молодых семей в приобретении (строительстве) жилья"</t>
  </si>
  <si>
    <t>подпрограмма "Поддержка граждан, проживающих на территории Кузнечихинского сельского поселения, в сфере ипотечного кредитования"</t>
  </si>
  <si>
    <t>Реализация мероприятий подпорграммы "Поддержка граждан, проживающих на территории Кузнечихинского сельского поселения, в сфере ипотечного кредитования"</t>
  </si>
  <si>
    <t>подпрограмма "Переселение граждан из аварийного жилищного фонда Кузнечихинского сельского поселения ЯМР ЯО"</t>
  </si>
  <si>
    <t>подпрограмма "Основные направления сохранения и развития культуры и искусства в Кузнечихинском сельском поселении ЯМР"</t>
  </si>
  <si>
    <t>подпрограмма "Развитие физической культуры и спорта в Кузнечихинском сельском поселении"</t>
  </si>
  <si>
    <t>подпрограмма "Комплексная программа модернизации и реформирования жилищно-коммунального хозяйства Кузнечихинского сельского поселения"</t>
  </si>
  <si>
    <t>подпрограмма "Чистая вода"</t>
  </si>
  <si>
    <t>подпрограмма "Комплексная программа благоустройства территории Кузнечихинского сельского поселения"</t>
  </si>
  <si>
    <t>подпрограмма «Развитие муниципальной службы в Администрации Кузнечихинского СП»</t>
  </si>
  <si>
    <t>подпрограмма "Сохранность муниципальных автомобильных дорог Кузнечихинского сельского поселения"</t>
  </si>
  <si>
    <t>подпрограмма «Комплексное развитие сельских территорий в Кузнечихинском сельском поселении»</t>
  </si>
  <si>
    <t>Реализация мероприятий подпрограммы "Поддержка граждан, проживающих на территории Кузнечихинского сельского поселения, в сфере ипотечного кредитования"</t>
  </si>
  <si>
    <t>подрограмма "Поддержка граждан, проживающих на территории Кузнечихинского сельского поселения, в сфере ипотечного кредитования"</t>
  </si>
  <si>
    <t>Реализация мероприятий подпрограммы  "Поддержка молодых семей в приобретении (строительстве) жилья"</t>
  </si>
  <si>
    <t>Реализация мероприятий подпрограммы "Сохранность автомобильных дорог"</t>
  </si>
  <si>
    <t>Реализация мероприятий подпрограммы «Чистая вода»</t>
  </si>
  <si>
    <t>Общегосударственные вопросы</t>
  </si>
  <si>
    <t>Реализация мероприятий по подпрограмме "Поддержка молодых семей в приобретении (строительстве) жилья</t>
  </si>
  <si>
    <t>подпрограммаа «Решаем Вместе!»</t>
  </si>
  <si>
    <t>Реализация мероприятий инициативного бюджетирования на территории Ярославской области (поддержка местных инициатив)</t>
  </si>
  <si>
    <t xml:space="preserve">на 2022 год </t>
  </si>
  <si>
    <t>бюджета Кузнечихинского сельского поселения Ярославского муниципального района Ярославской области на 2022 год по разделам и подразделам классификации расходов бюджетов Российской Федерации</t>
  </si>
  <si>
    <t>Расходы бюджета Кузнечихинского сельского поселения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2022 год</t>
  </si>
  <si>
    <t>приобретение воркаут</t>
  </si>
  <si>
    <t>Проект благоустройства общественной территории д.Глебовское (разработка сметной документации)</t>
  </si>
  <si>
    <t>Содержание и обслуживание пожарных водоемов</t>
  </si>
  <si>
    <t>Модернизация уличного освещения с.Толгоболь (не менее 30% от стоимости объекта)(Сметная стоимость ~~1 200 т.р.)</t>
  </si>
  <si>
    <t>Ремонт мун жил фонда</t>
  </si>
  <si>
    <t>-</t>
  </si>
  <si>
    <t>Ремонт дороги от д.Курдумово ул.Ясная (с.Толгоболь)</t>
  </si>
  <si>
    <t>0412</t>
  </si>
  <si>
    <t>21.1.05.72880</t>
  </si>
  <si>
    <t>Расходы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</si>
  <si>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Другие вопросы в области национальной экономики</t>
  </si>
  <si>
    <t>21.1.05.46880</t>
  </si>
  <si>
    <t>Расходы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(местный бюджет)</t>
  </si>
  <si>
    <t>Прогнозируемые доходы бюджета Кузнечихинского сельского поселения на 2022 год в соответствии с  классификацией доходов бюджетов Российской Федерации</t>
  </si>
  <si>
    <t>руб.</t>
  </si>
  <si>
    <t>Код бюджетной классификации</t>
  </si>
  <si>
    <t>Наименование доходов</t>
  </si>
  <si>
    <t>Налоговые и неналоговые доходы, в том числе:</t>
  </si>
  <si>
    <t>Налоговые</t>
  </si>
  <si>
    <t>000 1 00 00000 00 0000 000</t>
  </si>
  <si>
    <t>Доходы, в том числе: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</si>
  <si>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</si>
  <si>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</si>
  <si>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</si>
  <si>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</si>
  <si>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182 1 05 03000 01 0000 110</t>
  </si>
  <si>
    <t>Единый сельскохозяйственный налог</t>
  </si>
  <si>
    <t>182 1 06 00000 00 0000 000</t>
  </si>
  <si>
    <t>Налоги на имущество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</si>
  <si>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</si>
  <si>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</si>
  <si>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</si>
  <si>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841 1 08 04020 01 0000 110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</si>
  <si>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</si>
  <si>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841 1 09 04053 10 2100 110</t>
  </si>
  <si>
    <t>Земельный налог (по обязательствам, возникшим до 1 января 2006 года), мобилизуемым на территориях сельских поселений (пени по соответствующему платежу)</t>
  </si>
  <si>
    <t>100 1 03 02000 01 0000 110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</si>
  <si>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</si>
  <si>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</si>
  <si>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</si>
  <si>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</si>
  <si>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841 1 11 05035 10 0000 120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</si>
  <si>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</si>
  <si>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841 1 11 09045 10 0000 120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</si>
  <si>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</si>
  <si>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841 1 13 01995 10 0000 130</t>
  </si>
  <si>
    <t>Прочие доходы от оказания платных услуг (работ) получателями средств бюджетов сельских поселений</t>
  </si>
  <si>
    <t>841 1 13 01995 10 0017 130</t>
  </si>
  <si>
    <t xml:space="preserve">Прочие доходы от оказания платных услуг (работ) получателями средств бюджетов поселений (Услуги по обеспечению функционирования и технического обслуж-я оборудования-базовой станции сотовой радиотелефонной связи) </t>
  </si>
  <si>
    <t>841 1 13 01995 10 0023 130</t>
  </si>
  <si>
    <t>Доходы от оказания банных услуг</t>
  </si>
  <si>
    <t>841 1 13 02995 10 0000 130</t>
  </si>
  <si>
    <t>Прочие доходы от компенсации затрат бюджетов сельских поселений</t>
  </si>
  <si>
    <t>841 1 14 02 053 10 0000 410</t>
  </si>
  <si>
    <t xml:space="preserve">          Приложение № 1 к решению Муниципального Совета  Кузнечихинского сельского поселения № 21   от 27.09 .2022</t>
  </si>
  <si>
    <t xml:space="preserve">  Приложение № 3 к решению Муниципального Совета  Кузнечихинского сельского поселения № 21 от 27.09. 2022</t>
  </si>
  <si>
    <t xml:space="preserve">  Приложение № 5 к решению Муниципального Совета  Кузнечихинского сельского поселения № 21 от 27.09 2022</t>
  </si>
  <si>
    <t xml:space="preserve">  Приложение № 7 к решению Муниципального Совета  Кузнечихинского сельского поселения № 21 от 27.09. 2022</t>
  </si>
  <si>
    <t xml:space="preserve">  Приложение № 9 к решению Муниципального Совета  Кузнечихинского сельского поселения № 21   от 27.09.2022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</si>
  <si>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</si>
  <si>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</si>
  <si>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</si>
  <si>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841 1 16 07010 10 0000 140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</si>
  <si>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</si>
  <si>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841 1 17 05050 10 0000 180</t>
  </si>
  <si>
    <t>Прочие неналоговые доходы бюджетов сельских поселений</t>
  </si>
  <si>
    <t>841 1 17 05050 10 0002 180</t>
  </si>
  <si>
    <t>949 1 16 02020 02 0000 140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</si>
  <si>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</si>
  <si>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</si>
  <si>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</si>
  <si>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</si>
  <si>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</si>
  <si>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841 2 02 10000 00 0000 150</t>
  </si>
  <si>
    <t>Дотации бюджетам бюджетной системы Российской Федерации</t>
  </si>
  <si>
    <t>841 2 02 15001 10 0000 150</t>
  </si>
  <si>
    <t>Дотации бюджетам сельских поселений на выравнивание бюджетной обеспеченности</t>
  </si>
  <si>
    <t>841 2 02 19999 10 1004 150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</si>
  <si>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</si>
  <si>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>000 2 02 20000 00 0000 150</t>
  </si>
  <si>
    <t>Субсидии бюджетам бюджетной системы Российской Федерации (межбюджетные субсидии)</t>
  </si>
  <si>
    <t>841 2 02 20041 10 0000 150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</si>
  <si>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</si>
  <si>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841 2 02 25497 00 0000 150</t>
  </si>
  <si>
    <t>Субсидии бюджетам на реализацию мероприятий по обеспечению жильем молодых семей</t>
  </si>
  <si>
    <t>841 2 02 25555 10 0000 150</t>
  </si>
  <si>
    <t>Субсидии бюджетам сельских поселений на реализацию программ формирования современной городской среды</t>
  </si>
  <si>
    <t>841 2 02 20299 10 0000 150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</si>
  <si>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</si>
  <si>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841 2 02 20302 10 0000 150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</si>
  <si>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</si>
  <si>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841 2 02 29999 10 2005 150</t>
  </si>
  <si>
    <t>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</si>
  <si>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841 2 02 29999 10 0000 150</t>
  </si>
  <si>
    <t>Прочие субсидии бюджетам сельских поселений</t>
  </si>
  <si>
    <t>841 2 02 29999 10 2032 150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</si>
  <si>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инициатив))</t>
  </si>
  <si>
    <t>841 2 02 29999 10 2047 150</t>
  </si>
  <si>
    <t>Прочие субсидии бюджетам сельских поселений (Субсидия на реализацию мероприятий по борьбе с борщевиком Сосновского)</t>
  </si>
  <si>
    <t>000 2 02 30000 00 0000 150</t>
  </si>
  <si>
    <t>Субвенции бюджетам бюджетной системы Российской Федерации</t>
  </si>
  <si>
    <t>841 2 02 35118 10 0000 150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</si>
  <si>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</si>
  <si>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</si>
  <si>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Иные межбюджетные трансферты</t>
  </si>
  <si>
    <t>841 2 02 40014 10 0000 150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</si>
  <si>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</si>
  <si>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841 2 02 49999 10 0000 150</t>
  </si>
  <si>
    <t>Прочие межбюджетные трансферты, передаваемые бюджетам сельских поселений</t>
  </si>
  <si>
    <t>Прочие безвозмездные поступления (добровольные пожертвования)</t>
  </si>
  <si>
    <t>841 2 03 05020 10 0000 150</t>
  </si>
  <si>
    <t>Поступления от денежных пожертвований, предоставляемых государственными (муниципальными) организациями получателям средств бюджетов сельских поселений</t>
  </si>
  <si>
    <t>841 2 04 05020 10 0000 150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</si>
  <si>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</si>
  <si>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841 2 07 05030 10 0000 150</t>
  </si>
  <si>
    <t>Прочие безвозмездные поступления в бюджеты сельских поселений</t>
  </si>
  <si>
    <t>Итого: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</si>
  <si>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</si>
  <si>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Прочие межбюджетные трансферты, передаваемые бюджетам сельских поселений (межбюджетные трансферты на благоустройство дворовых территорий и обустройство территорий для выгула животных</t>
  </si>
  <si>
    <t>39.1.03.70410</t>
  </si>
  <si>
    <t>Благоустройство дворовых территорий и обустройство территории для выгула собак</t>
  </si>
  <si>
    <t>Губернаторский проект "Наши дворы" Благоустройство дворовых территорий и обустройство территории для выгула собак</t>
  </si>
  <si>
    <t>841 2 02 29999 10 2004 150</t>
  </si>
  <si>
    <t>841 2 02 49999 10 4010 150</t>
  </si>
  <si>
    <t>оповещатель на школе</t>
  </si>
  <si>
    <t>14.5.01.73260</t>
  </si>
  <si>
    <t>Расходы на реализацию мероприятий, предусмотренных нормативными правовыми актами органов государственной власти Ярославской области</t>
  </si>
  <si>
    <t>21.1.05.42880</t>
  </si>
  <si>
    <t>14.5.01.7326.0</t>
  </si>
  <si>
    <t>841 2 02 29999 10 2060 150</t>
  </si>
  <si>
    <t>Прочие субсидии бюджетам сельских поселений (Субсидия на благоустройство, реставрацию, реконстк=рукцию воинских захоронений и военно-мемориальных объектов)</t>
  </si>
  <si>
    <t>841 1 11 05025 10 0000 120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</si>
  <si>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</si>
  <si>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14.5.02.10850</t>
  </si>
  <si>
    <t>Расходы на частичное финансирование первоочередных расходных обязательств, возникших при выполнении полномочий органов местного самоуправления, за исключением заработной платы и начислений на нее</t>
  </si>
  <si>
    <t>39.1.F2.10850</t>
  </si>
  <si>
    <t>0100</t>
  </si>
  <si>
    <t>0102</t>
  </si>
  <si>
    <t>0104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</si>
  <si>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</si>
  <si>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</si>
  <si>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</si>
  <si>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</si>
  <si>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</si>
  <si>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</si>
  <si>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</si>
  <si>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</si>
  <si>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</si>
  <si>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</si>
  <si>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</si>
  <si>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</si>
  <si>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0314</t>
  </si>
  <si>
    <t>0400</t>
  </si>
  <si>
    <t>Национальная экономика</t>
  </si>
  <si>
    <t>0406</t>
  </si>
  <si>
    <t>Водное хозяйство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</si>
  <si>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</si>
  <si>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</si>
  <si>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</si>
  <si>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</si>
  <si>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</si>
  <si>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</si>
  <si>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</si>
  <si>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</si>
  <si>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</si>
  <si>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</si>
  <si>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</si>
  <si>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</si>
  <si>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0700</t>
  </si>
  <si>
    <t>Образование</t>
  </si>
  <si>
    <t>0707</t>
  </si>
  <si>
    <t>0800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</si>
  <si>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</si>
  <si>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</si>
  <si>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</si>
  <si>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</si>
  <si>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</si>
  <si>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</si>
  <si>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</si>
  <si>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</si>
  <si>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</si>
  <si>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</si>
  <si>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Итого расходы:</t>
  </si>
  <si>
    <t>Наименование</t>
  </si>
  <si>
    <t>КЦСР</t>
  </si>
  <si>
    <t>Вид расходов</t>
  </si>
  <si>
    <t>Муниципальная программа "Развитие образования и молодежная политика в Кузнечихинском сельском поселении"</t>
  </si>
  <si>
    <t>02.0.00.00000</t>
  </si>
  <si>
    <t/>
  </si>
  <si>
    <t>02.1.00.00000</t>
  </si>
  <si>
    <t>Содействие развитию гражданственности, социальной зрелости молодёжи</t>
  </si>
  <si>
    <t>02.1.01.00000</t>
  </si>
  <si>
    <t>Проведение мероприятий для детей и молодежи</t>
  </si>
  <si>
    <t>02.1.01.46040</t>
  </si>
  <si>
    <t>Закупка товаров,  работ и услуг для государственных (муниципальных) нужд</t>
  </si>
  <si>
    <t>Муниципальная программа "Социальная поддержка населения в Кузнечихинском сельском поселении"</t>
  </si>
  <si>
    <t>03.0.00.00000</t>
  </si>
  <si>
    <t>03.1.00.00000</t>
  </si>
  <si>
    <t>Проведение массовых мероприятий, посвящённых праздничным и памятным датам</t>
  </si>
  <si>
    <t>03.1.01.00000</t>
  </si>
  <si>
    <t>Расходы на финансирование мероприятий, посвященных праздничным и памятным дням</t>
  </si>
  <si>
    <t>03.1.01.46050</t>
  </si>
  <si>
    <t>Социальная защита и поддержка граждан Кузнечихинского сельского поселения</t>
  </si>
  <si>
    <t>03.1.02.00000</t>
  </si>
  <si>
    <t>Адресная материальная помощь</t>
  </si>
  <si>
    <t>03.1.02.46060</t>
  </si>
  <si>
    <t>Социальное обеспечение и иные выплаты населению</t>
  </si>
  <si>
    <t>Доплаты к пенсиям государственных служащих субъектов Российской Федерации и муниципальных служащих</t>
  </si>
  <si>
    <t>03.1.02.46070</t>
  </si>
  <si>
    <t>Муниципальная программа «Обеспечение доступным и комфортным жильём населения Кузнечихинского сельского поселения»</t>
  </si>
  <si>
    <t>05.0.00.00000</t>
  </si>
  <si>
    <t>05.1.00.00000</t>
  </si>
  <si>
    <t>Предоставлени молодым семьям социальных выплат на приобретение (строительство) жилья</t>
  </si>
  <si>
    <t>05.1.01.00000</t>
  </si>
  <si>
    <t>05.1.01.L4970</t>
  </si>
  <si>
    <t>местн</t>
  </si>
  <si>
    <t>05.2.00.00000</t>
  </si>
  <si>
    <t>Предоставление субсидии семьям на приобретение (строительство) жилых помещений с использованием ипотечных жилищных кредитов (займов)</t>
  </si>
  <si>
    <t>05.2.01.00000</t>
  </si>
  <si>
    <t>05.2.01.41230</t>
  </si>
  <si>
    <t>Реализация мероприятий по гос. поддержке граждан, проживающих на территории ЯО, в сфере ипотечного кредитования</t>
  </si>
  <si>
    <t>05.2.01.71230</t>
  </si>
  <si>
    <t>05.3.00.00000</t>
  </si>
  <si>
    <t>Региональный проект "Обеспечение устойчивого сокращения непригодного для проживания жилищного фонда"</t>
  </si>
  <si>
    <t>05.3.F3.00000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</si>
  <si>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местного бюджета</t>
  </si>
  <si>
    <t>05.3.F3.6748S</t>
  </si>
  <si>
    <t>Бюджетные инвестиции</t>
  </si>
  <si>
    <t>Муниципальная программа "Развитие культуры и туризма в Кузнечихинском сельском поселении"</t>
  </si>
  <si>
    <t>11.0.00.00000</t>
  </si>
  <si>
    <t>11.1.00.00000</t>
  </si>
  <si>
    <t>Сохранение и развитие культурных традиций, единого культурного пространства района, поддержка развития всех видов и жанров современной культуры и искусства, подготовка и показ спектаклей, концертов, концертных программ, кинопрограмм и иных зрелищных  программ.</t>
  </si>
  <si>
    <t>11.1.01.00000</t>
  </si>
  <si>
    <t>Межбюджетные трансферты на передачу осуществления части полномочий в сфере культуры</t>
  </si>
  <si>
    <t>11.1.01.46430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</si>
  <si>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</si>
  <si>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Межбюджетные трансферты</t>
  </si>
  <si>
    <t>Иные бюджетные ассигнования</t>
  </si>
  <si>
    <t>Реализация мероприятий по проведению капитальных и текущих ремонтов муниципальных учреждений культуры</t>
  </si>
  <si>
    <t>11.1.01.46180</t>
  </si>
  <si>
    <t>Удовлетворение культурных, информационных, образовательных потребностей жителей поселения, сохранение единого информационного пространства, увеличение количества пользователей библиотечных услуг</t>
  </si>
  <si>
    <t>11.1.02.00000</t>
  </si>
  <si>
    <t>Реализация мероприятий на сохранение единого информационного пространства в поселении</t>
  </si>
  <si>
    <t>11.1.02.46310</t>
  </si>
  <si>
    <t>Муниципальная программа "Охрана окружающей среды в Кузнечихинском сельском поселении"</t>
  </si>
  <si>
    <t>12.0.00.00000</t>
  </si>
  <si>
    <t>МЦП "Обращение с твердыми бытовыми отходами на территории Кузнечихинского сельского поселения"</t>
  </si>
  <si>
    <t>12.2.00.00000</t>
  </si>
  <si>
    <t>Создание условий для повышения экологической культуры, модернизация инфраструктуры обращения с ТБО с  внедрением раздельного сбора и сортировки ТБО</t>
  </si>
  <si>
    <t>12.2.01.00000</t>
  </si>
  <si>
    <t>Реализация мероприятий МЦП "Обращение с твердыми бытовыми отходами на территории Кузнечихинского сельского поселения ЯМР"</t>
  </si>
  <si>
    <t>12.2.01.46100</t>
  </si>
  <si>
    <t>Муниципальная программа "Развитие физической культуры и спорта в Кузнечихинском сельском поселении"</t>
  </si>
  <si>
    <t>13.0.00.00000</t>
  </si>
  <si>
    <t>13.1.00.00000</t>
  </si>
  <si>
    <t xml:space="preserve">Развитие инфраструктуры и укрепление материально-технической базы для занятий физической культурой и массовым спортом </t>
  </si>
  <si>
    <t>13.1.02.00000</t>
  </si>
  <si>
    <t>Реализация мероприятий по развитию инфраструктуры и укреплению материально-технической базы</t>
  </si>
  <si>
    <t>13.1.02.46320</t>
  </si>
  <si>
    <t>Муниципальная программа "Обеспечение качественными коммунальными услугами населения Кузнечихинского сельского поселения"</t>
  </si>
  <si>
    <t>14.0.00.00000</t>
  </si>
  <si>
    <t>14.1.00.00000</t>
  </si>
  <si>
    <t>Осуществление мероприятий в области ЖКХ</t>
  </si>
  <si>
    <t>14.1.01.00000</t>
  </si>
  <si>
    <t>Реализация мероприятий в области жилищно-коммунального хозяйства</t>
  </si>
  <si>
    <t>14.1.01.46260</t>
  </si>
  <si>
    <t>Формирование фонда капитального ремонта многоквартирных домов</t>
  </si>
  <si>
    <t>14.1.02.00000</t>
  </si>
  <si>
    <t>Взносы на капитальный ремонт по помещениям МКД, находящимся в муниципальной собственности</t>
  </si>
  <si>
    <t>14.1.02.46130</t>
  </si>
  <si>
    <t>14.2.00.00000</t>
  </si>
  <si>
    <t>Строительство и реконструкция объектов водоснабжения и водоотведения</t>
  </si>
  <si>
    <t>14.2.01.00000</t>
  </si>
  <si>
    <t>Реализация мероприятий по строительству и реконструкции объектов водоснабжения и водоотведения</t>
  </si>
  <si>
    <t>14.2.01.46120</t>
  </si>
  <si>
    <t>Межбюджетные трансферты на осуществление полномочий по решению вопросов местного значения в области организации в границах поселения водоснабжения населения в населенных пунктах, где отсутствует централизованное водоснабжение (осуществление строительства, содержания и ремонта колодцев)</t>
  </si>
  <si>
    <t>14.2.01.10490</t>
  </si>
  <si>
    <t>14.5.00.00000</t>
  </si>
  <si>
    <t>Организация взаимодействия между предприятиями, организациями и учреждениями при решении вопросов благоустройства территории поселения.</t>
  </si>
  <si>
    <t>14.5.01.00000</t>
  </si>
  <si>
    <t>Уличное освещение</t>
  </si>
  <si>
    <t>14.5.01.46150</t>
  </si>
  <si>
    <t>Закупка товаров, работ и услуг для государственных (муниципальных) нужд</t>
  </si>
  <si>
    <t>Прочие мероприятия по благоустройству</t>
  </si>
  <si>
    <t>14.5.01.46230</t>
  </si>
  <si>
    <t>Расходы на благоустройство, реставрацию и реконструкцию воинских захоронений и военно-мемориальных объектов, за счет средств местного бюджета</t>
  </si>
  <si>
    <t>14.5.01.46460</t>
  </si>
  <si>
    <t>Приведение в качественное состояние элементов благоустройства и привлечение жителей к участию в решении проблем благоустройства.</t>
  </si>
  <si>
    <t>14.5.02.00000</t>
  </si>
  <si>
    <t>Обеспечение деятельности подведомственных учреждений</t>
  </si>
  <si>
    <t>14.5.02.46240</t>
  </si>
  <si>
    <t>Озеленение</t>
  </si>
  <si>
    <t>14.5.02.46270</t>
  </si>
  <si>
    <t>Муниципальная программа «Эффективная власть в Кузнечихинском СП»</t>
  </si>
  <si>
    <t>21.0.00.00000</t>
  </si>
  <si>
    <t>21.1.00.00000</t>
  </si>
  <si>
    <t>Оценка недвижимости, признание прав и регулирование отношений по гос. и муниципальной собственности</t>
  </si>
  <si>
    <t>21.1.01.00000</t>
  </si>
  <si>
    <t>21.1.01.46250</t>
  </si>
  <si>
    <t>Обеспечение открытости муниципальной службы, доступности информации о муниципальной службе и деятельности муниципальных служащих, повышение престижа муниципальной службы</t>
  </si>
  <si>
    <t>21.1.02.00000</t>
  </si>
  <si>
    <t>Мероприятия по доступности информации о муниципальной службе и деятельности муниципальных служащих, повышение престижа муниципальной службы</t>
  </si>
  <si>
    <t>21.1.02.46340</t>
  </si>
  <si>
    <t>Профессиональное развитие муниципальных служащих</t>
  </si>
  <si>
    <t>21.1.03.00000</t>
  </si>
  <si>
    <t>Мероприятия по повышению квалификации муниципальных служащих</t>
  </si>
  <si>
    <t>21.1.03.46350</t>
  </si>
  <si>
    <t>Муниципальная программа "Развитие дорожного хозяйства в Кузнечихинском сельском поселении"</t>
  </si>
  <si>
    <t>24.0.00.00000</t>
  </si>
  <si>
    <t>24.1.00.00000</t>
  </si>
  <si>
    <t>Приведение в нормативное состояние автомобильных дорог местного значения, разработка рабочих проектов</t>
  </si>
  <si>
    <t>24.1.01.00000</t>
  </si>
  <si>
    <t>24.1.01.46160</t>
  </si>
  <si>
    <t>Ремонт и содержание автомобильных дорог</t>
  </si>
  <si>
    <t>24.1.01.10340</t>
  </si>
  <si>
    <t>Расходы на финансирование дорожного хозяйства</t>
  </si>
  <si>
    <t>24.1.01.72440</t>
  </si>
  <si>
    <t>Непрограммные расходы</t>
  </si>
  <si>
    <t>50.0.00.00000</t>
  </si>
  <si>
    <t>Глава Кузнечихинского сельского поселения</t>
  </si>
  <si>
    <t>50.0.00.66010</t>
  </si>
  <si>
    <t>Центральный аппарат</t>
  </si>
  <si>
    <t>50.0.00.66020</t>
  </si>
  <si>
    <t>Межбюджетные трансферты передаваемые из бюджета Кузнечихинского сельского поселения в бюджет ЯМР ЯО на содержание контрольно счётной палаты</t>
  </si>
  <si>
    <t>50.0.00.66040</t>
  </si>
  <si>
    <t>Резервный фонд Кузнечихинского сельского поселения</t>
  </si>
  <si>
    <t>50.0.00.66050</t>
  </si>
  <si>
    <t>Предупреждение и ликвидация последствий чрезвычайных ситуаций и стихийных бедствий природного и техногенного характера</t>
  </si>
  <si>
    <t>50.0.00.66060</t>
  </si>
  <si>
    <t>Добровольная народная дружина Кузнечихинского сельского поселения</t>
  </si>
  <si>
    <t>50.0.00.66070</t>
  </si>
  <si>
    <t>Расходы на проведение выборов</t>
  </si>
  <si>
    <t>50.0.00.6608.0</t>
  </si>
  <si>
    <t>Межбюджетные трансферты - на переданные полномочия на уровень ЯМР по исполнению бюджета и осуществлению контроля от Администрации Кузнечихинского СП</t>
  </si>
  <si>
    <t>50.0.00.6609.0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</si>
  <si>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</si>
  <si>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</si>
  <si>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Расходы на исполнение судебных актов</t>
  </si>
  <si>
    <t>50.0.00.66100</t>
  </si>
  <si>
    <t>Муниципальная программа «Формирование комфортной городской среды»</t>
  </si>
  <si>
    <t>39.0.00.00000</t>
  </si>
  <si>
    <t>39.1.00.00000</t>
  </si>
  <si>
    <t>Повышение уровня благоустройства на территории Кузнечихинского сельского поселения ЯМР</t>
  </si>
  <si>
    <t>39.1.01.00000</t>
  </si>
  <si>
    <t>Формирование современной городской среды</t>
  </si>
  <si>
    <t>39.1.F2.55550</t>
  </si>
  <si>
    <t xml:space="preserve">Ведомственная структура расходов </t>
  </si>
  <si>
    <t>по разделам, подразделам и целевой классификации расходов бюджетов Российской Федерации</t>
  </si>
  <si>
    <t>Код КВСР</t>
  </si>
  <si>
    <t>Код раздела и подраздела КБ РФ</t>
  </si>
  <si>
    <t>КВР</t>
  </si>
  <si>
    <t>Безвозмездные поступления из других бюджетов</t>
  </si>
  <si>
    <t>Собственные доходы</t>
  </si>
  <si>
    <t>ИТОГО</t>
  </si>
  <si>
    <t>841</t>
  </si>
  <si>
    <t>Администрация Кузнечихинского сельского поселения</t>
  </si>
  <si>
    <t>Функционирование высшего должностного лица субъекта Российской Федерации и муниципального образования</t>
  </si>
  <si>
    <t>50.0.00.6601.0</t>
  </si>
  <si>
    <t>Расходы на выплату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</si>
  <si>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</si>
  <si>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50.0.00.6602.0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</si>
  <si>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самоуправления. Центральный аппарат</t>
  </si>
  <si>
    <t>50.0.00.6604.0</t>
  </si>
  <si>
    <t>Резервные фонды</t>
  </si>
  <si>
    <t>50.0.00.6605.0</t>
  </si>
  <si>
    <t>Резервный фонд Кузнечихинского сельского поселенияРезервный фонд Кузнечихинского сельского поселения</t>
  </si>
  <si>
    <t>21.1.01.4625.0</t>
  </si>
  <si>
    <t>Оценка недвижимости, признание прав и регулирование отношений по государственной и муниципальной собственности</t>
  </si>
  <si>
    <t>21.1.02.4634.0</t>
  </si>
  <si>
    <t>21.1.03.4635.0</t>
  </si>
  <si>
    <t>50.0.00.6610.0</t>
  </si>
  <si>
    <t>50.0.00.5118.0</t>
  </si>
  <si>
    <t xml:space="preserve"> 0300</t>
  </si>
  <si>
    <t>Национальная безопасность и правоохрательная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</si>
  <si>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</si>
  <si>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50.0.00.6606.0</t>
  </si>
  <si>
    <t>Предупреждение и ликвидация последствий чрезвычайных ситуаций и стихийных бедствий природного и техногенного характера. Обеспечение пожарной безопасности.</t>
  </si>
  <si>
    <t>50.0.00.6607.0</t>
  </si>
  <si>
    <t>24.1.01.4616.0</t>
  </si>
  <si>
    <t>24.1.01.1034.0</t>
  </si>
  <si>
    <t>05.3.F3.67483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</si>
  <si>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</si>
  <si>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400</t>
  </si>
  <si>
    <t>Капитальные вложения в объекты государственной (муниципальной) собственности</t>
  </si>
  <si>
    <t>05.3.F3.67484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</si>
  <si>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</si>
  <si>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14.1.01.4626.0</t>
  </si>
  <si>
    <t>Реализация мероприятий в области жилищного и коммунального хозяйства</t>
  </si>
  <si>
    <t>14.1.02.4613.0</t>
  </si>
  <si>
    <t>14.5.01.4615.0</t>
  </si>
  <si>
    <t>14.5.01.4623.0</t>
  </si>
  <si>
    <t>14.5.02.4627.0</t>
  </si>
  <si>
    <t>14.5.02.4624.0</t>
  </si>
  <si>
    <t>Молодежная политика</t>
  </si>
  <si>
    <t>02.1.01.4604.0</t>
  </si>
  <si>
    <t xml:space="preserve">Культура, кинематография </t>
  </si>
  <si>
    <t>11.1.01.4609.0</t>
  </si>
  <si>
    <t>11.1.01.4618.0</t>
  </si>
  <si>
    <t>Реализация мероприятий по проведению капитальных ремонтов муниципальных учреждений культуры</t>
  </si>
  <si>
    <t>11.1.02.4631.0</t>
  </si>
  <si>
    <t>03.1.02.4607.0</t>
  </si>
  <si>
    <t>05.1.01.5020.0</t>
  </si>
  <si>
    <t>Субсидии на мероприятия подпрограммы "Обеспечение жильем молодых семей" федеральной целевой программы "Жилище" на 2015 - 2020 годы</t>
  </si>
  <si>
    <t>05.1.01.R020.0</t>
  </si>
  <si>
    <t>Субсидия на государственную поддержку молодых семей Ярославской области в приобретении (строительстве) жилья</t>
  </si>
  <si>
    <t>Реализация мероприятий по гос. поддержке граждан, проживающих на территории ЯО, в сфете ипотечного кредитования</t>
  </si>
  <si>
    <t>03.1.01.4605.0</t>
  </si>
  <si>
    <t>Расходы на финансирование мероприятий посвященных праздничным и памятным дням</t>
  </si>
  <si>
    <t>03.1.02.4606.0</t>
  </si>
  <si>
    <t>13.1.02.4632.0</t>
  </si>
  <si>
    <t xml:space="preserve">                               Итого:</t>
  </si>
  <si>
    <t>Субсидии на формирование современной городской среды</t>
  </si>
  <si>
    <t>21.1.05.46420</t>
  </si>
  <si>
    <t>Реализация мероприятий в области коммунального хозяйства</t>
  </si>
  <si>
    <t>21.1.05.00000</t>
  </si>
  <si>
    <t>Создание условий для реализации программы "Эффективная власть в Кузнечихинском сельском поселении"</t>
  </si>
  <si>
    <t>14.5.01.46900</t>
  </si>
  <si>
    <t>Реализация мероприятий по борьбе с борщевиком Сосновского за счёт бюджета поселения</t>
  </si>
  <si>
    <t>14.5.01.4646.0</t>
  </si>
  <si>
    <t>03.1.01.10110</t>
  </si>
  <si>
    <t>14.5.01.10710</t>
  </si>
  <si>
    <t>Расходы передаваемые из бюджета Ярославского муниципального района бюджетам поселений, входящих в состав ЯМР, на ликвидацию несанкционированных свалок отходов</t>
  </si>
  <si>
    <t>14.5.01.76900</t>
  </si>
  <si>
    <t>Расходы на реализацию мероприятий по борьбе с борщевиком Сосновского</t>
  </si>
  <si>
    <t>Расходы на проведение мероприятий по благоустройству сельских территорий</t>
  </si>
  <si>
    <t>24.1.01.42440</t>
  </si>
  <si>
    <t>Расходы на финансирование дорожного хозяйства, за счет средств местного бюджета</t>
  </si>
  <si>
    <t>Расходы на частичное финансирование первоочередных расходных обязательств, возникших при выполнении полномочий  органов местного самоуправления, за исключением заработной платы и начислений на нее</t>
  </si>
  <si>
    <t>14.5.01.L5760</t>
  </si>
  <si>
    <t>21.1.05.4642.0</t>
  </si>
  <si>
    <t>14.5.02.10660</t>
  </si>
  <si>
    <t>14.2.01.1049.0</t>
  </si>
  <si>
    <t>14.5.01.1071.0</t>
  </si>
  <si>
    <t>50.0.00.66110</t>
  </si>
  <si>
    <t>Расходы по уплате административных штрафов</t>
  </si>
  <si>
    <t>14.2.01.4612.0</t>
  </si>
  <si>
    <t>1301</t>
  </si>
  <si>
    <t>4</t>
  </si>
  <si>
    <t>Профицит</t>
  </si>
  <si>
    <t>21.1.04.46400</t>
  </si>
  <si>
    <t>Процентные платежи по муниципальному долгу</t>
  </si>
  <si>
    <t>Обслуживание государственного (муниципального) долга</t>
  </si>
  <si>
    <t>39.1.02.00000</t>
  </si>
  <si>
    <t>Расходы на реализацию мероприятий инициативного бюджетирования на территории Ярославской области (поддержка местных инициатив)</t>
  </si>
  <si>
    <t>Расходы на реализацию мероприятий инициативного бюджетирования на территории Ярославской области (поддержка местных инициатив) за счет средств местного бюджета</t>
  </si>
  <si>
    <t>48.0.00.00000</t>
  </si>
  <si>
    <t>Муниципальная программа «Комплексное развитие сельских территорий»</t>
  </si>
  <si>
    <t>48.1.00.00000</t>
  </si>
  <si>
    <t>48.1.01.00000</t>
  </si>
  <si>
    <t>Организация благоустройства на территории поселения</t>
  </si>
  <si>
    <t>48.1.01.L5760</t>
  </si>
  <si>
    <t>Реализация мероприятий по благоустройству сельских территорий</t>
  </si>
  <si>
    <t xml:space="preserve">Реализация мероприятий комплексного развития сельских территорий </t>
  </si>
  <si>
    <t>1101</t>
  </si>
  <si>
    <t>Физическая культура</t>
  </si>
  <si>
    <t>Обслуживание государственного внутреннего и муниципального долга</t>
  </si>
  <si>
    <t>39.1.02.75350</t>
  </si>
  <si>
    <t>39.1.02.45350</t>
  </si>
  <si>
    <t>Профессиональная подготовка, переподготовка и повышение квалификации</t>
  </si>
  <si>
    <t>0705</t>
  </si>
  <si>
    <t>Мероприятия по повышению квалификации муниципальных служащих, медосмотр муниципальных служащих</t>
  </si>
  <si>
    <t>Земельный налог</t>
  </si>
  <si>
    <t xml:space="preserve">Источники внутреннего </t>
  </si>
  <si>
    <t xml:space="preserve">финансирования дефицита бюджета Кузнечихинского сельского поселения </t>
  </si>
  <si>
    <t>№ п/п</t>
  </si>
  <si>
    <t>Код</t>
  </si>
  <si>
    <t>2017 год                                  (руб.)</t>
  </si>
  <si>
    <t>841 01 03 00 00 00 0000 000</t>
  </si>
  <si>
    <t>Бюджетные кредиты от других бюджетов бюджетной системы РФ в валюте Российской Федерации</t>
  </si>
  <si>
    <t>841 01 03 01 00 10 4620 710</t>
  </si>
  <si>
    <t>Получение кредитов от других бюджетов бюджетной системы РФ бюджетам поселений в валюте Российской федерации</t>
  </si>
  <si>
    <t>841 01 03 01 00 05 0000 800</t>
  </si>
  <si>
    <t>Погашение бюджетных кредитов, полученных от других бюджетов бюджетной системы РФ в валюте РФ</t>
  </si>
  <si>
    <t>841 01 03 01 00 10 4620 810</t>
  </si>
  <si>
    <t>Погашение бюджетами поселений кредитов от других бюджетов бюджетной системы РФ  в валюте Российской федерации</t>
  </si>
  <si>
    <t>841 01 05 00 00 00 0000 000</t>
  </si>
  <si>
    <t>Изменение остатков средств на счетах по учету средств бюджетов</t>
  </si>
  <si>
    <t>841 01 05 02 01 10 0000 510</t>
  </si>
  <si>
    <t>Увеличение прочих остатков денежных средств бюджетов сельских поселений</t>
  </si>
  <si>
    <t>841 01 05 02 01 10 0000 610</t>
  </si>
  <si>
    <t>Уменьшение прочих остатков денежных средств бюджетов сельских поселений</t>
  </si>
  <si>
    <t>ИТОГО источников внутреннего финансирования:</t>
  </si>
  <si>
    <t xml:space="preserve">Расходы  </t>
  </si>
  <si>
    <t>руб</t>
  </si>
  <si>
    <t>Код раздела и подраздела БК</t>
  </si>
  <si>
    <t>Наименование расходов</t>
  </si>
  <si>
    <t>за счет безвозмездных поступлений</t>
  </si>
  <si>
    <t>за счет собственных средств</t>
  </si>
  <si>
    <t>Всего</t>
  </si>
  <si>
    <t>Общегосударственные расходы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</si>
  <si>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</si>
  <si>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органов исполнительной власти субъектов РФ, местных администраций</t>
  </si>
  <si>
    <t>Резервный фонд</t>
  </si>
  <si>
    <t>0300</t>
  </si>
  <si>
    <t>Национальная безопасность и правоохранительная деятельность</t>
  </si>
  <si>
    <t>Защита населения и территории от ситуаций природного и техногенного характера, гражданская оборона</t>
  </si>
  <si>
    <t>0310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</si>
  <si>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</si>
  <si>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</si>
  <si>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 xml:space="preserve">Молодежная политика </t>
  </si>
  <si>
    <t>Культура, кинематография</t>
  </si>
  <si>
    <t>Мероприятия, направленные на приведение в нормативное состояние автомобильных дорог местного значения, обеспечивающих подъезды к объектам социального назначения за счет средств областного бюджета</t>
  </si>
  <si>
    <t>24.1.01.77350</t>
  </si>
  <si>
    <t>Мероприятия, направленные на приведение в нормативное состояние автомобильных дорог местного значения, обеспечивающих подъезды к объектам социального назначения за счет средств местного бюджета</t>
  </si>
  <si>
    <t>24.1.01.47350</t>
  </si>
  <si>
    <t>бюджета Кузнечихинского сельского поселения на 2022 год</t>
  </si>
  <si>
    <t xml:space="preserve"> в том числе:</t>
  </si>
  <si>
    <t>страховка авто Рено Сандеро</t>
  </si>
  <si>
    <t>услуги сотовой связи</t>
  </si>
  <si>
    <t>теплоснабжение с.Толбухино, ул.Даниловская, д.8, кв11</t>
  </si>
  <si>
    <t>в том числе</t>
  </si>
  <si>
    <t>теплоснабжение д. Медягино д.10 кв.13 комн.1</t>
  </si>
  <si>
    <t>теплоснабжение д.Глебовское, ул.Олимпийская, 1 а (офис)</t>
  </si>
  <si>
    <t>теплоснабжение с.Толбухино, ул.Даниловская, д.8, кв.4, Андроники, д.7, кв.2</t>
  </si>
  <si>
    <t>Услуги по обращению с ТКО Хартия</t>
  </si>
  <si>
    <t>Водоснабжение/водоотведение</t>
  </si>
  <si>
    <t>Комплекс услуг "ТехноКад-Муниципалитет"</t>
  </si>
  <si>
    <t>Обновление программного обеспечения АС "УРМ"</t>
  </si>
  <si>
    <t>Неисключительные права использования Программы "Web-система СБИС"ЭП - 6 шт</t>
  </si>
  <si>
    <t>Техническая и информационная поддержка сайта http://кузнечиха-адм.рф/</t>
  </si>
  <si>
    <t>Сопровождение программных продуктов для ЭВМ системы "1С:Предприятие"</t>
  </si>
  <si>
    <t>Оказание услуг по оценке рыночной стоимости объектов оценки (аварийные квартиры)</t>
  </si>
  <si>
    <t>Обновление программного обеспечения "Управление имуществом"</t>
  </si>
  <si>
    <t>Публикация в газете Агрокурьер</t>
  </si>
  <si>
    <t>Услуги по оформ. догов. соц. найма, довер., выписок из реестра БТИ</t>
  </si>
  <si>
    <t>Разработка Проекта межевания территории</t>
  </si>
  <si>
    <t>медосмотр</t>
  </si>
  <si>
    <t>Оплата членских взносов Ассоциация совет мун образований</t>
  </si>
  <si>
    <t>Налог на имущество</t>
  </si>
  <si>
    <t>Транспортный налог</t>
  </si>
  <si>
    <t>Оплата за негативное воздействие на окруж.среду</t>
  </si>
  <si>
    <t>в том числе:</t>
  </si>
  <si>
    <t>Страхование ГТС (плотина оз.Тарасовское с.Толбухино, Гидроузел Соньга)</t>
  </si>
  <si>
    <t>Ремонт подъездной дороги к школе в д.Кузнечиха 117 м</t>
  </si>
  <si>
    <t>Ремонт подъездной дороги к амбулатории в д.Кузнечиха 137 м</t>
  </si>
  <si>
    <t>заключение достоверности сметного расчета</t>
  </si>
  <si>
    <t>экспертиза сметной документации</t>
  </si>
  <si>
    <t>разработка сметной документации</t>
  </si>
  <si>
    <t>технадзор</t>
  </si>
  <si>
    <t>5 % софинансирование к 5 343 273,00</t>
  </si>
  <si>
    <t>Зимнее содержание дорог в границах поселения</t>
  </si>
  <si>
    <t>Закупка инертных материалов (ПГС, песок)</t>
  </si>
  <si>
    <t>Компенсац.выплаты председ.советов МКД</t>
  </si>
  <si>
    <t>Возмещение расходов старостам деревень КСП</t>
  </si>
  <si>
    <t>Снос аварийных домов</t>
  </si>
  <si>
    <t>Баня п.Ярославка и д.Глебовское, в том числе:</t>
  </si>
  <si>
    <t>Теплоэнергия</t>
  </si>
  <si>
    <t>Водоснабжение</t>
  </si>
  <si>
    <t>Уличное освещение поселения (2021)</t>
  </si>
  <si>
    <t>Уличное освещение поселения (2022)</t>
  </si>
  <si>
    <t>электроэнергия Адм здания</t>
  </si>
  <si>
    <t>Приобретение бензогенератора</t>
  </si>
  <si>
    <t>заправка огнетушителей</t>
  </si>
  <si>
    <t>изготовление табличек "Пожарный водоем" 10 шт</t>
  </si>
  <si>
    <t>Приобретение 5 раскладушек и комплектов постельного белья, одеял, матрацов</t>
  </si>
  <si>
    <t>Строительные и отделочные материалы для ремонтов военных захоронений</t>
  </si>
  <si>
    <t>Вырубка фаунтных деревьев</t>
  </si>
  <si>
    <t>Заработная плата и начисления</t>
  </si>
  <si>
    <t>обслуживание комп и офисной техники</t>
  </si>
  <si>
    <t>ГСМ и масла</t>
  </si>
  <si>
    <t>Обновление програмного обеспечения АС "УРМ"</t>
  </si>
  <si>
    <t>страховка Рено Дастер и УАЗ</t>
  </si>
  <si>
    <t>налог на имущество</t>
  </si>
  <si>
    <t>транспортный налог</t>
  </si>
  <si>
    <t>Обучение с выдачей удостоверения о повышении квалификации</t>
  </si>
  <si>
    <t>бух отчетность</t>
  </si>
  <si>
    <t>Дни деревень</t>
  </si>
  <si>
    <t>Уборка территории в поселении, в том числе содержание благоустроенного парка "Победы"</t>
  </si>
  <si>
    <t>11.1.01.4643.0</t>
  </si>
  <si>
    <t>ремонт кровли с.Медягино, д.55</t>
  </si>
  <si>
    <t>Ремонт бани в п.Ярославка (мужская парилка и входная группа)</t>
  </si>
  <si>
    <t>Строительство колодца д.Дубовики у д.14</t>
  </si>
  <si>
    <t>Строительство колодца д.Павловское</t>
  </si>
  <si>
    <t>Строительство колодца д.Юрятино у д.17</t>
  </si>
  <si>
    <t>Обустройство "домика" у колодца в д.Ракино у д.24</t>
  </si>
  <si>
    <t>Кошение (3 раза за сезон)</t>
  </si>
  <si>
    <t>посадочный материал (цветочная рассада)</t>
  </si>
  <si>
    <t>аккарицидная обработка</t>
  </si>
  <si>
    <t>Восстановление уличного освещения (Даниловский РЭС)</t>
  </si>
  <si>
    <t>Восстановление уличного освещения в поселении</t>
  </si>
  <si>
    <t>Обустройство новых линий элестроосвещения в п.Ярославка</t>
  </si>
  <si>
    <t>Обустройство новых линий элестроосвещения в с.Андроники</t>
  </si>
  <si>
    <t>Обустройство новых линий элестроосвещения в д.Глебовское ул.Кооперативная</t>
  </si>
  <si>
    <t>приобретение детской площадки в п.Ярославка у д.7</t>
  </si>
  <si>
    <t>ремонт автомобилей</t>
  </si>
  <si>
    <t>закупка энергосберегающих светильников (100 шт), датчиков с астрономическим таймером для наружного освещения</t>
  </si>
  <si>
    <t>Кантовары</t>
  </si>
  <si>
    <t>Хозтовары</t>
  </si>
  <si>
    <t>Идентификация и оценка профессиональных рисков</t>
  </si>
  <si>
    <t>приобретение детской площадки в д.Кузнечиха, у д.31-32</t>
  </si>
  <si>
    <t>приобретение компьютера, комплектущих запчастей к имеющимся ЭВМ, тел трубка, шкаф в приемную</t>
  </si>
  <si>
    <t>Призы на конкурс "Точка притяжения"</t>
  </si>
  <si>
    <t>Обслуживание хоккейных кортов (оплата за содержание)</t>
  </si>
  <si>
    <t>материально-техническое снабжение</t>
  </si>
  <si>
    <r>
      <t xml:space="preserve">Софинансирование из местного бюджета </t>
    </r>
    <r>
      <rPr>
        <b/>
        <sz val="10"/>
        <rFont val="Times New Roman"/>
        <family val="1"/>
      </rPr>
      <t>Инициативным проектам</t>
    </r>
    <r>
      <rPr>
        <sz val="10"/>
        <rFont val="Times New Roman"/>
        <family val="1"/>
      </rPr>
      <t>, предложенным инициативной группой к реализации (в какой МП будет?)</t>
    </r>
  </si>
  <si>
    <t>Оценка земельных участков, планируемых к продаже</t>
  </si>
  <si>
    <t>Кап ремонт дороги с.Пазушино ул.Новая</t>
  </si>
  <si>
    <t>Кап ремонт дороги в границах д.Ватолино</t>
  </si>
  <si>
    <t>Ремонт дороги в границах д.Мологино</t>
  </si>
  <si>
    <t>Ремонт дороги в границах д.Сосновцы</t>
  </si>
  <si>
    <t>на плановый период:</t>
  </si>
  <si>
    <t>Ремонт подъездной дороги к школе и к клубу в д.Кузнечиха 328 м</t>
  </si>
  <si>
    <t>Подъезд и пирс у пожарного водоема в с.Андроники</t>
  </si>
  <si>
    <t>Ремонт кровли в с.Толбухино, ул.Даниловская, д.5 (адм.здание)</t>
  </si>
  <si>
    <t>Кап ремонт дороги в д.Глебовское 40 лет Победы от д.1 до ул.Лесной</t>
  </si>
  <si>
    <t>Кап ремонт дороги в д.Глебовское ул.Олимпийская 1а до школы</t>
  </si>
  <si>
    <t>Кап ремонт дороги в д.Глебовское ул.Мира</t>
  </si>
  <si>
    <t>44-ФЗ 2 специалиста (МКУ "Центр развития ОМС"</t>
  </si>
  <si>
    <t>44-ФЗ 4 специалиста (Администрация)</t>
  </si>
  <si>
    <t>Образовательные услуги по повышению квалификации (бух-фин отдел)</t>
  </si>
  <si>
    <t>Закупка товаров, работ и услуг для государственных (муниципальных) нужд                                                                    (5 % софинансирование)</t>
  </si>
  <si>
    <t>Летнее содержание дорог в границах поселения (д.Кузнечиха, с.Толбухино, д.Глебовское, с.Медягино, с.Толгоболь, Большие Жарки, Гавшинка, Васильевское, Большое Наговицино, Бутрево, Пономарево, Сереново-Василево, Юрятино, Мологино, Ватолино, Ракино, Устье, Андроники, Тоицкое, Филино, Кувшинцево)</t>
  </si>
  <si>
    <t>Установка аншлагов с наименование населенных пунктов (д.Спас, д.Дмитриевское, д.Муханово, д.Буконтьево, д.Феклино, д.Ясино, д.Пазушино, с.Толгоболь, д.Курдумово, д.Василево)</t>
  </si>
  <si>
    <t>обучение по антикоррупционным вопросам</t>
  </si>
  <si>
    <t>Ежедневный осмотр состояния плотины и ГТС (Толбухино, Медягино)</t>
  </si>
  <si>
    <t xml:space="preserve"> содержание незамерзающих прорубей, пожарных водоемов (Кузнечиха, Ваталино, Устье, Толгоболь, Глебовское)</t>
  </si>
  <si>
    <t>Реализация мероприятий по борьбе с борщевиком Сосновского за счёт бюджета поселения, не входящие в софинансирование с ОБ</t>
  </si>
  <si>
    <t>Пирс с.Толгоболь (Курдумово)</t>
  </si>
  <si>
    <t>Ремонт памятника в Муханово, Ремонт памятника в Андрониках (тумба под бюстом)</t>
  </si>
  <si>
    <t>Контейнерные площадки (Кузнечиха - Заводская, Геологов, Крымская, Толгоболь-ул.Железнодорожная)</t>
  </si>
  <si>
    <t>Ликвидация несанкционированных свалок</t>
  </si>
  <si>
    <t>Оказание услуг по обращению с ТКО</t>
  </si>
  <si>
    <t>Установка видеонаблюдения на здании Администрации (на парк) и внутри</t>
  </si>
  <si>
    <t>Закупка светильников LED в административные помещения</t>
  </si>
  <si>
    <t>Содержание кладбищ (контейнеры)</t>
  </si>
  <si>
    <t>Ремонт подъездной дороги к ДК в п.Ярославка</t>
  </si>
  <si>
    <t>Заработная плата за услуги по содержанию бани в д.Глебовское</t>
  </si>
  <si>
    <t>Заработная плата за услуги по содержанию бани в п.Ярославка</t>
  </si>
  <si>
    <t>Электроэнергия</t>
  </si>
  <si>
    <t>Установка  бункеров на время субботников</t>
  </si>
  <si>
    <r>
      <t>Реализация мероприятий по благоустройству сельских территорий (</t>
    </r>
    <r>
      <rPr>
        <b/>
        <sz val="10"/>
        <rFont val="Times New Roman"/>
        <family val="1"/>
      </rPr>
      <t>КРСТ</t>
    </r>
    <r>
      <rPr>
        <sz val="10"/>
        <rFont val="Times New Roman"/>
        <family val="1"/>
      </rPr>
      <t>)</t>
    </r>
  </si>
  <si>
    <t>Строит., отделоч.материалы и хозяйственный инвентарь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</si>
</sst>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[$-FC19]d\ mmmm\ yyyy\ &quot;г.&quot;"/>
    <numFmt numFmtId="180" formatCode="000"/>
  </numFmts>
  <fonts count="62">
    <font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i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i/>
      <sz val="10"/>
      <name val="Arial"/>
      <family val="2"/>
    </font>
    <font>
      <b/>
      <sz val="8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14"/>
      <color indexed="8"/>
      <name val="Times New Roman"/>
      <family val="1"/>
    </font>
    <font>
      <b/>
      <i/>
      <sz val="12"/>
      <name val="Arial Cyr"/>
      <family val="2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21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Arial Cyr"/>
      <family val="0"/>
    </font>
    <font>
      <sz val="9"/>
      <color indexed="63"/>
      <name val="Times New Roman"/>
      <family val="1"/>
    </font>
    <font>
      <b/>
      <sz val="11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2" borderId="0" applyNumberFormat="0" applyBorder="0" applyAlignment="0" applyProtection="0"/>
    <xf numFmtId="0" fontId="39" fillId="3" borderId="1" applyNumberFormat="0" applyAlignment="0" applyProtection="0"/>
    <xf numFmtId="0" fontId="40" fillId="9" borderId="2" applyNumberFormat="0" applyAlignment="0" applyProtection="0"/>
    <xf numFmtId="0" fontId="41" fillId="9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14" borderId="7" applyNumberFormat="0" applyAlignment="0" applyProtection="0"/>
    <xf numFmtId="0" fontId="47" fillId="0" borderId="0" applyNumberFormat="0" applyFill="0" applyBorder="0" applyAlignment="0" applyProtection="0"/>
    <xf numFmtId="0" fontId="4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9" fillId="1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7" borderId="0" applyNumberFormat="0" applyBorder="0" applyAlignment="0" applyProtection="0"/>
  </cellStyleXfs>
  <cellXfs count="297">
    <xf numFmtId="0" fontId="0" fillId="0" borderId="0" xfId="0" applyAlignment="1">
      <alignment/>
    </xf>
    <xf numFmtId="4" fontId="5" fillId="0" borderId="0" xfId="53" applyNumberFormat="1" applyFont="1" applyAlignment="1">
      <alignment horizontal="right" vertical="center" wrapText="1"/>
      <protection/>
    </xf>
    <xf numFmtId="0" fontId="0" fillId="0" borderId="0" xfId="53" applyAlignment="1">
      <alignment vertical="center" wrapText="1"/>
      <protection/>
    </xf>
    <xf numFmtId="0" fontId="0" fillId="0" borderId="0" xfId="53" applyAlignment="1">
      <alignment horizontal="left" vertical="center" wrapText="1"/>
      <protection/>
    </xf>
    <xf numFmtId="0" fontId="1" fillId="0" borderId="10" xfId="53" applyFont="1" applyBorder="1" applyAlignment="1" applyProtection="1">
      <alignment horizontal="center" vertical="center" wrapText="1"/>
      <protection hidden="1"/>
    </xf>
    <xf numFmtId="0" fontId="7" fillId="0" borderId="10" xfId="53" applyFont="1" applyBorder="1" applyAlignment="1" applyProtection="1">
      <alignment horizontal="center" vertical="center" wrapText="1"/>
      <protection hidden="1"/>
    </xf>
    <xf numFmtId="0" fontId="0" fillId="0" borderId="10" xfId="53" applyBorder="1" applyAlignment="1">
      <alignment vertical="center" wrapText="1"/>
      <protection/>
    </xf>
    <xf numFmtId="4" fontId="5" fillId="0" borderId="10" xfId="53" applyNumberFormat="1" applyFont="1" applyBorder="1" applyAlignment="1">
      <alignment horizontal="right" vertical="center" wrapText="1"/>
      <protection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8" fillId="0" borderId="10" xfId="53" applyFont="1" applyBorder="1" applyAlignment="1" applyProtection="1">
      <alignment horizontal="left" vertical="center" wrapText="1"/>
      <protection hidden="1"/>
    </xf>
    <xf numFmtId="49" fontId="9" fillId="0" borderId="10" xfId="53" applyNumberFormat="1" applyFont="1" applyBorder="1" applyAlignment="1">
      <alignment horizontal="center" vertical="center" wrapText="1"/>
      <protection/>
    </xf>
    <xf numFmtId="0" fontId="7" fillId="17" borderId="10" xfId="53" applyFont="1" applyFill="1" applyBorder="1" applyAlignment="1" applyProtection="1">
      <alignment horizontal="left" vertical="center" wrapText="1"/>
      <protection hidden="1"/>
    </xf>
    <xf numFmtId="49" fontId="7" fillId="17" borderId="10" xfId="53" applyNumberFormat="1" applyFont="1" applyFill="1" applyBorder="1" applyAlignment="1" applyProtection="1">
      <alignment horizontal="left" vertical="center" wrapText="1"/>
      <protection hidden="1"/>
    </xf>
    <xf numFmtId="180" fontId="7" fillId="17" borderId="10" xfId="53" applyNumberFormat="1" applyFont="1" applyFill="1" applyBorder="1" applyAlignment="1" applyProtection="1">
      <alignment horizontal="center" vertical="center" wrapText="1"/>
      <protection hidden="1"/>
    </xf>
    <xf numFmtId="0" fontId="10" fillId="17" borderId="10" xfId="53" applyFont="1" applyFill="1" applyBorder="1" applyAlignment="1">
      <alignment vertical="center" wrapText="1"/>
      <protection/>
    </xf>
    <xf numFmtId="4" fontId="9" fillId="17" borderId="10" xfId="53" applyNumberFormat="1" applyFont="1" applyFill="1" applyBorder="1" applyAlignment="1">
      <alignment horizontal="right" vertical="center" wrapText="1"/>
      <protection/>
    </xf>
    <xf numFmtId="0" fontId="0" fillId="17" borderId="0" xfId="53" applyFill="1" applyAlignment="1">
      <alignment vertical="center" wrapText="1"/>
      <protection/>
    </xf>
    <xf numFmtId="0" fontId="11" fillId="7" borderId="10" xfId="53" applyFont="1" applyFill="1" applyBorder="1" applyAlignment="1" applyProtection="1">
      <alignment horizontal="left" vertical="center" wrapText="1"/>
      <protection hidden="1"/>
    </xf>
    <xf numFmtId="49" fontId="8" fillId="7" borderId="10" xfId="53" applyNumberFormat="1" applyFont="1" applyFill="1" applyBorder="1" applyAlignment="1" applyProtection="1">
      <alignment horizontal="left" vertical="center" wrapText="1"/>
      <protection hidden="1"/>
    </xf>
    <xf numFmtId="180" fontId="11" fillId="7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7" borderId="10" xfId="53" applyFill="1" applyBorder="1" applyAlignment="1">
      <alignment vertical="center" wrapText="1"/>
      <protection/>
    </xf>
    <xf numFmtId="4" fontId="5" fillId="7" borderId="10" xfId="53" applyNumberFormat="1" applyFont="1" applyFill="1" applyBorder="1" applyAlignment="1">
      <alignment horizontal="right" vertical="center" wrapText="1"/>
      <protection/>
    </xf>
    <xf numFmtId="0" fontId="0" fillId="7" borderId="0" xfId="53" applyFill="1" applyAlignment="1">
      <alignment vertical="center" wrapText="1"/>
      <protection/>
    </xf>
    <xf numFmtId="0" fontId="8" fillId="10" borderId="10" xfId="53" applyFont="1" applyFill="1" applyBorder="1" applyAlignment="1" applyProtection="1">
      <alignment horizontal="left" vertical="center" wrapText="1"/>
      <protection hidden="1"/>
    </xf>
    <xf numFmtId="49" fontId="8" fillId="10" borderId="10" xfId="53" applyNumberFormat="1" applyFont="1" applyFill="1" applyBorder="1" applyAlignment="1" applyProtection="1">
      <alignment horizontal="left" vertical="center" wrapText="1"/>
      <protection hidden="1"/>
    </xf>
    <xf numFmtId="180" fontId="11" fillId="10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10" borderId="10" xfId="53" applyFill="1" applyBorder="1" applyAlignment="1">
      <alignment vertical="center" wrapText="1"/>
      <protection/>
    </xf>
    <xf numFmtId="4" fontId="5" fillId="10" borderId="10" xfId="53" applyNumberFormat="1" applyFont="1" applyFill="1" applyBorder="1" applyAlignment="1">
      <alignment horizontal="right" vertical="center" wrapText="1"/>
      <protection/>
    </xf>
    <xf numFmtId="0" fontId="0" fillId="10" borderId="0" xfId="53" applyFill="1" applyAlignment="1">
      <alignment vertical="center" wrapText="1"/>
      <protection/>
    </xf>
    <xf numFmtId="180" fontId="8" fillId="0" borderId="10" xfId="53" applyNumberFormat="1" applyFont="1" applyBorder="1" applyAlignment="1" applyProtection="1">
      <alignment horizontal="left" vertical="center" wrapText="1"/>
      <protection hidden="1"/>
    </xf>
    <xf numFmtId="180" fontId="8" fillId="0" borderId="10" xfId="53" applyNumberFormat="1" applyFont="1" applyBorder="1" applyAlignment="1" applyProtection="1">
      <alignment horizontal="center" vertical="center" wrapText="1"/>
      <protection hidden="1"/>
    </xf>
    <xf numFmtId="49" fontId="7" fillId="17" borderId="10" xfId="53" applyNumberFormat="1" applyFont="1" applyFill="1" applyBorder="1" applyAlignment="1" applyProtection="1">
      <alignment horizontal="center" vertical="center" wrapText="1"/>
      <protection hidden="1"/>
    </xf>
    <xf numFmtId="4" fontId="0" fillId="17" borderId="10" xfId="53" applyNumberFormat="1" applyFill="1" applyBorder="1" applyAlignment="1">
      <alignment vertical="center" wrapText="1"/>
      <protection/>
    </xf>
    <xf numFmtId="49" fontId="8" fillId="7" borderId="10" xfId="53" applyNumberFormat="1" applyFont="1" applyFill="1" applyBorder="1" applyAlignment="1" applyProtection="1">
      <alignment horizontal="center" vertical="center" wrapText="1"/>
      <protection hidden="1"/>
    </xf>
    <xf numFmtId="0" fontId="11" fillId="10" borderId="10" xfId="53" applyFont="1" applyFill="1" applyBorder="1" applyAlignment="1" applyProtection="1">
      <alignment horizontal="left" vertical="center" wrapText="1"/>
      <protection hidden="1"/>
    </xf>
    <xf numFmtId="180" fontId="8" fillId="10" borderId="10" xfId="53" applyNumberFormat="1" applyFont="1" applyFill="1" applyBorder="1" applyAlignment="1" applyProtection="1">
      <alignment horizontal="left" vertical="center" wrapText="1"/>
      <protection hidden="1"/>
    </xf>
    <xf numFmtId="0" fontId="12" fillId="10" borderId="10" xfId="53" applyFont="1" applyFill="1" applyBorder="1" applyAlignment="1">
      <alignment vertical="center" wrapText="1"/>
      <protection/>
    </xf>
    <xf numFmtId="0" fontId="12" fillId="0" borderId="0" xfId="53" applyFont="1" applyAlignment="1">
      <alignment vertical="center" wrapText="1"/>
      <protection/>
    </xf>
    <xf numFmtId="0" fontId="12" fillId="10" borderId="0" xfId="53" applyFont="1" applyFill="1" applyAlignment="1">
      <alignment vertical="center" wrapText="1"/>
      <protection/>
    </xf>
    <xf numFmtId="180" fontId="7" fillId="17" borderId="10" xfId="53" applyNumberFormat="1" applyFont="1" applyFill="1" applyBorder="1" applyAlignment="1" applyProtection="1">
      <alignment horizontal="left" vertical="center" wrapText="1"/>
      <protection hidden="1"/>
    </xf>
    <xf numFmtId="0" fontId="0" fillId="17" borderId="10" xfId="53" applyFill="1" applyBorder="1" applyAlignment="1">
      <alignment vertical="center" wrapText="1"/>
      <protection/>
    </xf>
    <xf numFmtId="180" fontId="8" fillId="7" borderId="10" xfId="53" applyNumberFormat="1" applyFont="1" applyFill="1" applyBorder="1" applyAlignment="1" applyProtection="1">
      <alignment horizontal="left" vertical="center" wrapText="1"/>
      <protection hidden="1"/>
    </xf>
    <xf numFmtId="180" fontId="8" fillId="7" borderId="10" xfId="53" applyNumberFormat="1" applyFont="1" applyFill="1" applyBorder="1" applyAlignment="1" applyProtection="1">
      <alignment horizontal="center" vertical="center" wrapText="1"/>
      <protection hidden="1"/>
    </xf>
    <xf numFmtId="180" fontId="8" fillId="10" borderId="10" xfId="53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53" applyNumberFormat="1" applyAlignment="1">
      <alignment vertical="center" wrapText="1"/>
      <protection/>
    </xf>
    <xf numFmtId="180" fontId="13" fillId="0" borderId="10" xfId="53" applyNumberFormat="1" applyFont="1" applyBorder="1" applyAlignment="1" applyProtection="1">
      <alignment horizontal="left" vertical="center" wrapText="1"/>
      <protection hidden="1"/>
    </xf>
    <xf numFmtId="180" fontId="7" fillId="0" borderId="10" xfId="53" applyNumberFormat="1" applyFont="1" applyBorder="1" applyAlignment="1" applyProtection="1">
      <alignment horizontal="left" vertical="center" wrapText="1"/>
      <protection hidden="1"/>
    </xf>
    <xf numFmtId="180" fontId="7" fillId="0" borderId="10" xfId="53" applyNumberFormat="1" applyFont="1" applyBorder="1" applyAlignment="1" applyProtection="1">
      <alignment horizontal="center" vertical="center" wrapText="1"/>
      <protection hidden="1"/>
    </xf>
    <xf numFmtId="180" fontId="11" fillId="0" borderId="10" xfId="53" applyNumberFormat="1" applyFont="1" applyBorder="1" applyAlignment="1" applyProtection="1">
      <alignment horizontal="center" vertical="center" wrapText="1"/>
      <protection hidden="1"/>
    </xf>
    <xf numFmtId="0" fontId="14" fillId="0" borderId="10" xfId="53" applyFont="1" applyBorder="1" applyAlignment="1">
      <alignment horizontal="center" vertical="center" wrapText="1"/>
      <protection/>
    </xf>
    <xf numFmtId="0" fontId="8" fillId="7" borderId="10" xfId="53" applyFont="1" applyFill="1" applyBorder="1" applyAlignment="1" applyProtection="1">
      <alignment horizontal="left" vertical="center" wrapText="1"/>
      <protection hidden="1"/>
    </xf>
    <xf numFmtId="0" fontId="5" fillId="0" borderId="10" xfId="53" applyFont="1" applyBorder="1" applyAlignment="1" applyProtection="1">
      <alignment horizontal="left" vertical="center" wrapText="1"/>
      <protection hidden="1"/>
    </xf>
    <xf numFmtId="0" fontId="14" fillId="0" borderId="10" xfId="53" applyFont="1" applyBorder="1" applyAlignment="1">
      <alignment vertical="center" wrapText="1"/>
      <protection/>
    </xf>
    <xf numFmtId="0" fontId="14" fillId="10" borderId="10" xfId="53" applyFont="1" applyFill="1" applyBorder="1" applyAlignment="1">
      <alignment horizontal="center" vertical="center" wrapText="1"/>
      <protection/>
    </xf>
    <xf numFmtId="0" fontId="15" fillId="17" borderId="10" xfId="53" applyFont="1" applyFill="1" applyBorder="1" applyAlignment="1">
      <alignment horizontal="center" vertical="center" wrapText="1"/>
      <protection/>
    </xf>
    <xf numFmtId="0" fontId="10" fillId="0" borderId="0" xfId="53" applyFont="1" applyAlignment="1">
      <alignment vertical="center" wrapText="1"/>
      <protection/>
    </xf>
    <xf numFmtId="0" fontId="10" fillId="17" borderId="0" xfId="53" applyFont="1" applyFill="1" applyAlignment="1">
      <alignment vertical="center" wrapText="1"/>
      <protection/>
    </xf>
    <xf numFmtId="0" fontId="14" fillId="7" borderId="10" xfId="53" applyFont="1" applyFill="1" applyBorder="1" applyAlignment="1">
      <alignment horizontal="center" vertical="center" wrapText="1"/>
      <protection/>
    </xf>
    <xf numFmtId="0" fontId="0" fillId="0" borderId="10" xfId="53" applyBorder="1" applyAlignment="1">
      <alignment horizontal="center" vertical="center" wrapText="1"/>
      <protection/>
    </xf>
    <xf numFmtId="0" fontId="0" fillId="0" borderId="10" xfId="53" applyBorder="1" applyAlignment="1">
      <alignment horizontal="left" vertical="center" wrapText="1"/>
      <protection/>
    </xf>
    <xf numFmtId="0" fontId="8" fillId="0" borderId="10" xfId="53" applyFont="1" applyBorder="1" applyAlignment="1" applyProtection="1">
      <alignment horizontal="right" vertical="center" wrapText="1"/>
      <protection hidden="1"/>
    </xf>
    <xf numFmtId="0" fontId="10" fillId="0" borderId="10" xfId="53" applyFont="1" applyBorder="1" applyAlignment="1">
      <alignment horizontal="right" vertical="center" wrapText="1"/>
      <protection/>
    </xf>
    <xf numFmtId="4" fontId="9" fillId="0" borderId="10" xfId="53" applyNumberFormat="1" applyFont="1" applyBorder="1" applyAlignment="1">
      <alignment horizontal="right" vertical="center" wrapText="1"/>
      <protection/>
    </xf>
    <xf numFmtId="180" fontId="5" fillId="0" borderId="10" xfId="53" applyNumberFormat="1" applyFont="1" applyBorder="1" applyAlignment="1" applyProtection="1">
      <alignment horizontal="center" vertical="center" wrapText="1"/>
      <protection hidden="1"/>
    </xf>
    <xf numFmtId="0" fontId="5" fillId="7" borderId="10" xfId="53" applyFont="1" applyFill="1" applyBorder="1" applyAlignment="1" applyProtection="1">
      <alignment horizontal="left" vertical="center" wrapText="1"/>
      <protection hidden="1"/>
    </xf>
    <xf numFmtId="180" fontId="5" fillId="7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7" borderId="10" xfId="53" applyFill="1" applyBorder="1" applyAlignment="1">
      <alignment horizontal="center" vertical="center" wrapText="1"/>
      <protection/>
    </xf>
    <xf numFmtId="0" fontId="5" fillId="10" borderId="10" xfId="53" applyFont="1" applyFill="1" applyBorder="1" applyAlignment="1" applyProtection="1">
      <alignment horizontal="left" vertical="center" wrapText="1"/>
      <protection hidden="1"/>
    </xf>
    <xf numFmtId="180" fontId="5" fillId="10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10" borderId="10" xfId="53" applyFill="1" applyBorder="1" applyAlignment="1">
      <alignment horizontal="center" vertical="center" wrapText="1"/>
      <protection/>
    </xf>
    <xf numFmtId="180" fontId="9" fillId="17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53" applyFill="1" applyAlignment="1">
      <alignment vertical="center" wrapText="1"/>
      <protection/>
    </xf>
    <xf numFmtId="0" fontId="12" fillId="0" borderId="0" xfId="53" applyFont="1" applyFill="1" applyAlignment="1">
      <alignment vertical="center" wrapText="1"/>
      <protection/>
    </xf>
    <xf numFmtId="0" fontId="2" fillId="0" borderId="0" xfId="53" applyFont="1" applyFill="1" applyAlignment="1">
      <alignment vertical="center" wrapText="1"/>
      <protection/>
    </xf>
    <xf numFmtId="4" fontId="0" fillId="0" borderId="0" xfId="53" applyNumberFormat="1" applyFill="1" applyAlignment="1">
      <alignment vertical="center" wrapText="1"/>
      <protection/>
    </xf>
    <xf numFmtId="0" fontId="54" fillId="0" borderId="0" xfId="53" applyFont="1" applyFill="1" applyAlignment="1">
      <alignment vertical="center" wrapText="1"/>
      <protection/>
    </xf>
    <xf numFmtId="0" fontId="10" fillId="0" borderId="0" xfId="53" applyFont="1" applyFill="1" applyAlignment="1">
      <alignment vertical="center" wrapText="1"/>
      <protection/>
    </xf>
    <xf numFmtId="49" fontId="16" fillId="0" borderId="10" xfId="54" applyNumberFormat="1" applyFont="1" applyFill="1" applyBorder="1" applyAlignment="1">
      <alignment horizontal="center" vertical="center" wrapText="1"/>
      <protection/>
    </xf>
    <xf numFmtId="49" fontId="16" fillId="0" borderId="11" xfId="54" applyNumberFormat="1" applyFont="1" applyFill="1" applyBorder="1" applyAlignment="1">
      <alignment horizontal="center" vertical="center" wrapText="1"/>
      <protection/>
    </xf>
    <xf numFmtId="0" fontId="16" fillId="0" borderId="11" xfId="54" applyFont="1" applyFill="1" applyBorder="1" applyAlignment="1">
      <alignment horizontal="center" vertical="center" wrapText="1"/>
      <protection/>
    </xf>
    <xf numFmtId="4" fontId="16" fillId="0" borderId="10" xfId="54" applyNumberFormat="1" applyFont="1" applyFill="1" applyBorder="1" applyAlignment="1">
      <alignment horizontal="right" vertical="center" wrapText="1"/>
      <protection/>
    </xf>
    <xf numFmtId="0" fontId="16" fillId="0" borderId="10" xfId="54" applyFont="1" applyFill="1" applyBorder="1" applyAlignment="1">
      <alignment horizontal="center" vertical="center" wrapText="1"/>
      <protection/>
    </xf>
    <xf numFmtId="180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3" applyFont="1" applyFill="1" applyBorder="1" applyAlignment="1" applyProtection="1">
      <alignment horizontal="left" vertical="center" wrapText="1"/>
      <protection hidden="1"/>
    </xf>
    <xf numFmtId="18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10" xfId="53" applyFill="1" applyBorder="1" applyAlignment="1">
      <alignment vertical="center" wrapText="1"/>
      <protection/>
    </xf>
    <xf numFmtId="4" fontId="5" fillId="0" borderId="10" xfId="53" applyNumberFormat="1" applyFont="1" applyFill="1" applyBorder="1" applyAlignment="1">
      <alignment horizontal="right" vertical="center" wrapText="1"/>
      <protection/>
    </xf>
    <xf numFmtId="0" fontId="9" fillId="17" borderId="10" xfId="53" applyFont="1" applyFill="1" applyBorder="1" applyAlignment="1" applyProtection="1">
      <alignment horizontal="left" vertical="center" wrapText="1"/>
      <protection hidden="1"/>
    </xf>
    <xf numFmtId="0" fontId="10" fillId="17" borderId="10" xfId="53" applyFont="1" applyFill="1" applyBorder="1" applyAlignment="1">
      <alignment horizontal="center" vertical="center" wrapText="1"/>
      <protection/>
    </xf>
    <xf numFmtId="0" fontId="16" fillId="0" borderId="10" xfId="53" applyFont="1" applyBorder="1" applyAlignment="1">
      <alignment horizontal="center" vertical="center" wrapText="1"/>
      <protection/>
    </xf>
    <xf numFmtId="0" fontId="16" fillId="0" borderId="0" xfId="53" applyFont="1" applyFill="1" applyAlignment="1">
      <alignment vertical="center" wrapText="1"/>
      <protection/>
    </xf>
    <xf numFmtId="0" fontId="16" fillId="0" borderId="0" xfId="53" applyFont="1" applyAlignment="1">
      <alignment vertical="center" wrapText="1"/>
      <protection/>
    </xf>
    <xf numFmtId="0" fontId="16" fillId="10" borderId="10" xfId="53" applyFont="1" applyFill="1" applyBorder="1" applyAlignment="1">
      <alignment horizontal="center" vertical="center" wrapText="1"/>
      <protection/>
    </xf>
    <xf numFmtId="0" fontId="16" fillId="7" borderId="10" xfId="53" applyFont="1" applyFill="1" applyBorder="1" applyAlignment="1">
      <alignment horizontal="center" vertical="center" wrapText="1"/>
      <protection/>
    </xf>
    <xf numFmtId="0" fontId="17" fillId="17" borderId="10" xfId="53" applyFont="1" applyFill="1" applyBorder="1" applyAlignment="1">
      <alignment horizontal="center" vertical="center" wrapText="1"/>
      <protection/>
    </xf>
    <xf numFmtId="0" fontId="9" fillId="17" borderId="0" xfId="53" applyFont="1" applyFill="1" applyAlignment="1">
      <alignment vertical="center" wrapText="1"/>
      <protection/>
    </xf>
    <xf numFmtId="0" fontId="37" fillId="0" borderId="0" xfId="55">
      <alignment/>
      <protection/>
    </xf>
    <xf numFmtId="0" fontId="16" fillId="0" borderId="0" xfId="56" applyFont="1" applyAlignment="1">
      <alignment horizontal="right"/>
      <protection/>
    </xf>
    <xf numFmtId="0" fontId="55" fillId="0" borderId="0" xfId="55" applyFont="1" applyAlignment="1">
      <alignment horizontal="right" vertical="center"/>
      <protection/>
    </xf>
    <xf numFmtId="0" fontId="56" fillId="0" borderId="10" xfId="55" applyFont="1" applyBorder="1" applyAlignment="1">
      <alignment horizontal="center" vertical="center" wrapText="1"/>
      <protection/>
    </xf>
    <xf numFmtId="0" fontId="55" fillId="0" borderId="10" xfId="55" applyFont="1" applyBorder="1" applyAlignment="1">
      <alignment horizontal="center" vertical="center" wrapText="1"/>
      <protection/>
    </xf>
    <xf numFmtId="0" fontId="55" fillId="0" borderId="10" xfId="55" applyFont="1" applyBorder="1" applyAlignment="1">
      <alignment horizontal="center" vertical="top" wrapText="1"/>
      <protection/>
    </xf>
    <xf numFmtId="0" fontId="57" fillId="0" borderId="10" xfId="55" applyFont="1" applyBorder="1" applyAlignment="1">
      <alignment horizontal="justify" vertical="top" wrapText="1"/>
      <protection/>
    </xf>
    <xf numFmtId="0" fontId="56" fillId="0" borderId="10" xfId="55" applyFont="1" applyBorder="1" applyAlignment="1">
      <alignment horizontal="justify" vertical="top" wrapText="1"/>
      <protection/>
    </xf>
    <xf numFmtId="4" fontId="16" fillId="0" borderId="10" xfId="55" applyNumberFormat="1" applyFont="1" applyBorder="1" applyAlignment="1">
      <alignment horizontal="center" vertical="top" wrapText="1"/>
      <protection/>
    </xf>
    <xf numFmtId="0" fontId="57" fillId="0" borderId="10" xfId="55" applyFont="1" applyBorder="1" applyAlignment="1">
      <alignment vertical="top" wrapText="1"/>
      <protection/>
    </xf>
    <xf numFmtId="0" fontId="56" fillId="0" borderId="10" xfId="55" applyFont="1" applyBorder="1" applyAlignment="1">
      <alignment vertical="top" wrapText="1"/>
      <protection/>
    </xf>
    <xf numFmtId="4" fontId="16" fillId="18" borderId="10" xfId="55" applyNumberFormat="1" applyFont="1" applyFill="1" applyBorder="1" applyAlignment="1">
      <alignment horizontal="center" vertical="top" wrapText="1"/>
      <protection/>
    </xf>
    <xf numFmtId="0" fontId="55" fillId="0" borderId="10" xfId="55" applyFont="1" applyBorder="1" applyAlignment="1">
      <alignment vertical="top" wrapText="1"/>
      <protection/>
    </xf>
    <xf numFmtId="0" fontId="58" fillId="0" borderId="10" xfId="55" applyFont="1" applyBorder="1" applyAlignment="1">
      <alignment vertical="top" wrapText="1"/>
      <protection/>
    </xf>
    <xf numFmtId="4" fontId="17" fillId="0" borderId="10" xfId="55" applyNumberFormat="1" applyFont="1" applyBorder="1" applyAlignment="1">
      <alignment horizontal="center" vertical="top" wrapText="1"/>
      <protection/>
    </xf>
    <xf numFmtId="4" fontId="37" fillId="0" borderId="0" xfId="55" applyNumberFormat="1">
      <alignment/>
      <protection/>
    </xf>
    <xf numFmtId="0" fontId="21" fillId="0" borderId="0" xfId="0" applyFont="1" applyAlignment="1">
      <alignment wrapText="1"/>
    </xf>
    <xf numFmtId="49" fontId="23" fillId="0" borderId="0" xfId="0" applyNumberFormat="1" applyFont="1" applyAlignment="1">
      <alignment vertical="center" wrapText="1"/>
    </xf>
    <xf numFmtId="0" fontId="21" fillId="0" borderId="0" xfId="0" applyFont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49" fontId="21" fillId="0" borderId="0" xfId="0" applyNumberFormat="1" applyFont="1" applyAlignment="1">
      <alignment wrapText="1"/>
    </xf>
    <xf numFmtId="49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4" fontId="21" fillId="0" borderId="0" xfId="0" applyNumberFormat="1" applyFont="1" applyAlignment="1">
      <alignment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4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wrapText="1"/>
    </xf>
    <xf numFmtId="49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4" fontId="23" fillId="0" borderId="10" xfId="0" applyNumberFormat="1" applyFont="1" applyBorder="1" applyAlignment="1">
      <alignment horizontal="right" wrapText="1"/>
    </xf>
    <xf numFmtId="49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4" fontId="21" fillId="0" borderId="10" xfId="0" applyNumberFormat="1" applyFont="1" applyBorder="1" applyAlignment="1">
      <alignment horizontal="right" wrapText="1"/>
    </xf>
    <xf numFmtId="4" fontId="21" fillId="0" borderId="10" xfId="0" applyNumberFormat="1" applyFont="1" applyBorder="1" applyAlignment="1">
      <alignment horizontal="right" vertical="center" wrapText="1"/>
    </xf>
    <xf numFmtId="4" fontId="59" fillId="0" borderId="0" xfId="0" applyNumberFormat="1" applyFont="1" applyAlignment="1">
      <alignment wrapText="1"/>
    </xf>
    <xf numFmtId="49" fontId="21" fillId="0" borderId="10" xfId="0" applyNumberFormat="1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wrapText="1"/>
    </xf>
    <xf numFmtId="4" fontId="23" fillId="0" borderId="10" xfId="0" applyNumberFormat="1" applyFont="1" applyBorder="1" applyAlignment="1">
      <alignment horizontal="right" vertical="center" wrapText="1"/>
    </xf>
    <xf numFmtId="0" fontId="24" fillId="0" borderId="10" xfId="54" applyFont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4" fontId="25" fillId="0" borderId="10" xfId="0" applyNumberFormat="1" applyFont="1" applyBorder="1" applyAlignment="1">
      <alignment horizontal="right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1" fontId="5" fillId="0" borderId="10" xfId="53" applyNumberFormat="1" applyFont="1" applyBorder="1" applyAlignment="1">
      <alignment horizontal="center" vertical="center" wrapText="1"/>
      <protection/>
    </xf>
    <xf numFmtId="4" fontId="8" fillId="0" borderId="10" xfId="54" applyNumberFormat="1" applyFont="1" applyFill="1" applyBorder="1" applyAlignment="1">
      <alignment horizontal="right" vertical="center" wrapText="1"/>
      <protection/>
    </xf>
    <xf numFmtId="4" fontId="5" fillId="0" borderId="10" xfId="54" applyNumberFormat="1" applyFont="1" applyFill="1" applyBorder="1" applyAlignment="1">
      <alignment horizontal="right" vertical="center" wrapText="1"/>
      <protection/>
    </xf>
    <xf numFmtId="4" fontId="8" fillId="0" borderId="10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4" fontId="16" fillId="0" borderId="0" xfId="0" applyNumberFormat="1" applyFont="1" applyFill="1" applyAlignment="1">
      <alignment vertical="center"/>
    </xf>
    <xf numFmtId="0" fontId="16" fillId="0" borderId="10" xfId="54" applyFont="1" applyFill="1" applyBorder="1" applyAlignment="1">
      <alignment horizontal="right" vertical="center" wrapText="1"/>
      <protection/>
    </xf>
    <xf numFmtId="0" fontId="16" fillId="0" borderId="10" xfId="54" applyFont="1" applyFill="1" applyBorder="1" applyAlignment="1">
      <alignment horizontal="justify" vertical="center" wrapText="1"/>
      <protection/>
    </xf>
    <xf numFmtId="0" fontId="17" fillId="0" borderId="10" xfId="54" applyFont="1" applyFill="1" applyBorder="1" applyAlignment="1">
      <alignment horizontal="justify" vertical="center" wrapText="1"/>
      <protection/>
    </xf>
    <xf numFmtId="4" fontId="16" fillId="0" borderId="10" xfId="0" applyNumberFormat="1" applyFont="1" applyFill="1" applyBorder="1" applyAlignment="1">
      <alignment horizontal="right" vertical="center"/>
    </xf>
    <xf numFmtId="0" fontId="5" fillId="0" borderId="10" xfId="54" applyFont="1" applyFill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center" vertical="center" wrapText="1"/>
    </xf>
    <xf numFmtId="0" fontId="5" fillId="0" borderId="11" xfId="54" applyFont="1" applyFill="1" applyBorder="1" applyAlignment="1">
      <alignment horizontal="center" vertical="center" wrapText="1"/>
      <protection/>
    </xf>
    <xf numFmtId="4" fontId="17" fillId="0" borderId="10" xfId="54" applyNumberFormat="1" applyFont="1" applyFill="1" applyBorder="1" applyAlignment="1">
      <alignment horizontal="right" vertical="center" wrapText="1"/>
      <protection/>
    </xf>
    <xf numFmtId="4" fontId="20" fillId="0" borderId="10" xfId="54" applyNumberFormat="1" applyFont="1" applyFill="1" applyBorder="1" applyAlignment="1">
      <alignment horizontal="right" vertical="center" wrapText="1"/>
      <protection/>
    </xf>
    <xf numFmtId="49" fontId="16" fillId="0" borderId="12" xfId="54" applyNumberFormat="1" applyFont="1" applyFill="1" applyBorder="1" applyAlignment="1">
      <alignment horizontal="center" vertical="center" wrapText="1"/>
      <protection/>
    </xf>
    <xf numFmtId="49" fontId="16" fillId="0" borderId="13" xfId="54" applyNumberFormat="1" applyFont="1" applyFill="1" applyBorder="1" applyAlignment="1">
      <alignment horizontal="center" vertical="center" wrapText="1"/>
      <protection/>
    </xf>
    <xf numFmtId="49" fontId="16" fillId="0" borderId="14" xfId="54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4" fontId="16" fillId="0" borderId="0" xfId="0" applyNumberFormat="1" applyFont="1" applyFill="1" applyAlignment="1">
      <alignment horizontal="right" vertical="center"/>
    </xf>
    <xf numFmtId="0" fontId="16" fillId="0" borderId="0" xfId="54" applyFont="1" applyFill="1" applyAlignment="1">
      <alignment vertical="center"/>
      <protection/>
    </xf>
    <xf numFmtId="0" fontId="17" fillId="0" borderId="0" xfId="54" applyFont="1" applyFill="1" applyAlignment="1">
      <alignment horizontal="center" vertical="center"/>
      <protection/>
    </xf>
    <xf numFmtId="0" fontId="9" fillId="0" borderId="0" xfId="54" applyFont="1" applyFill="1" applyAlignment="1">
      <alignment horizontal="center" vertical="center"/>
      <protection/>
    </xf>
    <xf numFmtId="4" fontId="16" fillId="0" borderId="0" xfId="54" applyNumberFormat="1" applyFont="1" applyFill="1" applyAlignment="1">
      <alignment horizontal="right" vertical="center"/>
      <protection/>
    </xf>
    <xf numFmtId="0" fontId="16" fillId="0" borderId="0" xfId="54" applyFont="1" applyFill="1" applyAlignment="1">
      <alignment horizontal="right" vertic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16" fillId="0" borderId="10" xfId="54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right" vertical="center" wrapText="1"/>
      <protection/>
    </xf>
    <xf numFmtId="49" fontId="17" fillId="0" borderId="15" xfId="54" applyNumberFormat="1" applyFont="1" applyFill="1" applyBorder="1" applyAlignment="1">
      <alignment horizontal="center" vertical="center" wrapText="1"/>
      <protection/>
    </xf>
    <xf numFmtId="49" fontId="9" fillId="0" borderId="15" xfId="54" applyNumberFormat="1" applyFont="1" applyFill="1" applyBorder="1" applyAlignment="1">
      <alignment horizontal="center" vertical="center" wrapText="1"/>
      <protection/>
    </xf>
    <xf numFmtId="4" fontId="1" fillId="0" borderId="10" xfId="54" applyNumberFormat="1" applyFont="1" applyFill="1" applyBorder="1" applyAlignment="1">
      <alignment horizontal="right" vertical="center" wrapText="1"/>
      <protection/>
    </xf>
    <xf numFmtId="49" fontId="17" fillId="0" borderId="10" xfId="54" applyNumberFormat="1" applyFont="1" applyFill="1" applyBorder="1" applyAlignment="1">
      <alignment horizontal="center" vertical="center" wrapText="1"/>
      <protection/>
    </xf>
    <xf numFmtId="49" fontId="27" fillId="0" borderId="15" xfId="54" applyNumberFormat="1" applyFont="1" applyFill="1" applyBorder="1" applyAlignment="1">
      <alignment horizontal="center" vertical="center" wrapText="1"/>
      <protection/>
    </xf>
    <xf numFmtId="49" fontId="19" fillId="0" borderId="15" xfId="54" applyNumberFormat="1" applyFont="1" applyFill="1" applyBorder="1" applyAlignment="1">
      <alignment horizontal="center" vertical="center" wrapText="1"/>
      <protection/>
    </xf>
    <xf numFmtId="49" fontId="17" fillId="0" borderId="11" xfId="54" applyNumberFormat="1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right" vertical="center"/>
    </xf>
    <xf numFmtId="18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18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0" xfId="54" applyNumberFormat="1" applyFont="1" applyFill="1" applyBorder="1" applyAlignment="1">
      <alignment horizontal="center" vertical="center" wrapText="1"/>
      <protection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49" fontId="5" fillId="0" borderId="11" xfId="54" applyNumberFormat="1" applyFont="1" applyFill="1" applyBorder="1" applyAlignment="1">
      <alignment horizontal="center" vertical="center" wrapText="1"/>
      <protection/>
    </xf>
    <xf numFmtId="4" fontId="7" fillId="0" borderId="10" xfId="54" applyNumberFormat="1" applyFont="1" applyFill="1" applyBorder="1" applyAlignment="1">
      <alignment horizontal="right" vertical="center" wrapText="1"/>
      <protection/>
    </xf>
    <xf numFmtId="0" fontId="17" fillId="0" borderId="10" xfId="54" applyFont="1" applyFill="1" applyBorder="1" applyAlignment="1">
      <alignment horizontal="right" vertical="center" wrapText="1"/>
      <protection/>
    </xf>
    <xf numFmtId="0" fontId="1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16" fillId="0" borderId="10" xfId="54" applyFont="1" applyFill="1" applyBorder="1" applyAlignment="1" applyProtection="1">
      <alignment horizontal="left" vertical="center" wrapText="1"/>
      <protection hidden="1"/>
    </xf>
    <xf numFmtId="4" fontId="8" fillId="0" borderId="10" xfId="54" applyNumberFormat="1" applyFont="1" applyFill="1" applyBorder="1" applyAlignment="1" applyProtection="1">
      <alignment horizontal="right" vertical="center" wrapText="1"/>
      <protection hidden="1"/>
    </xf>
    <xf numFmtId="0" fontId="16" fillId="0" borderId="0" xfId="0" applyFont="1" applyFill="1" applyAlignment="1">
      <alignment horizontal="right" vertical="center"/>
    </xf>
    <xf numFmtId="0" fontId="26" fillId="0" borderId="10" xfId="54" applyFont="1" applyFill="1" applyBorder="1" applyAlignment="1">
      <alignment horizontal="right" vertical="center" wrapText="1"/>
      <protection/>
    </xf>
    <xf numFmtId="0" fontId="16" fillId="0" borderId="10" xfId="54" applyFont="1" applyFill="1" applyBorder="1" applyAlignment="1" applyProtection="1">
      <alignment horizontal="right" vertical="center" wrapText="1"/>
      <protection hidden="1"/>
    </xf>
    <xf numFmtId="49" fontId="8" fillId="0" borderId="10" xfId="54" applyNumberFormat="1" applyFont="1" applyFill="1" applyBorder="1" applyAlignment="1">
      <alignment horizontal="center" vertical="center" wrapText="1"/>
      <protection/>
    </xf>
    <xf numFmtId="49" fontId="8" fillId="0" borderId="11" xfId="54" applyNumberFormat="1" applyFont="1" applyFill="1" applyBorder="1" applyAlignment="1">
      <alignment horizontal="center" vertical="center" wrapText="1"/>
      <protection/>
    </xf>
    <xf numFmtId="4" fontId="8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0" fontId="8" fillId="0" borderId="11" xfId="54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17" fillId="0" borderId="10" xfId="54" applyFont="1" applyFill="1" applyBorder="1" applyAlignment="1">
      <alignment horizontal="center" vertical="center" wrapText="1"/>
      <protection/>
    </xf>
    <xf numFmtId="0" fontId="16" fillId="0" borderId="10" xfId="54" applyFont="1" applyFill="1" applyBorder="1" applyAlignment="1">
      <alignment vertical="center"/>
      <protection/>
    </xf>
    <xf numFmtId="0" fontId="18" fillId="0" borderId="10" xfId="54" applyFont="1" applyFill="1" applyBorder="1" applyAlignment="1">
      <alignment horizontal="right" vertical="center" wrapText="1"/>
      <protection/>
    </xf>
    <xf numFmtId="4" fontId="18" fillId="0" borderId="10" xfId="54" applyNumberFormat="1" applyFont="1" applyFill="1" applyBorder="1" applyAlignment="1">
      <alignment horizontal="right" vertical="center" wrapText="1"/>
      <protection/>
    </xf>
    <xf numFmtId="4" fontId="19" fillId="0" borderId="10" xfId="54" applyNumberFormat="1" applyFont="1" applyFill="1" applyBorder="1" applyAlignment="1">
      <alignment horizontal="right" vertical="center" wrapText="1"/>
      <protection/>
    </xf>
    <xf numFmtId="4" fontId="16" fillId="0" borderId="16" xfId="55" applyNumberFormat="1" applyFont="1" applyFill="1" applyBorder="1" applyAlignment="1">
      <alignment horizontal="right" vertical="center" wrapText="1"/>
      <protection/>
    </xf>
    <xf numFmtId="0" fontId="16" fillId="0" borderId="10" xfId="54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7" fillId="0" borderId="10" xfId="54" applyFont="1" applyFill="1" applyBorder="1" applyAlignment="1">
      <alignment horizontal="left" vertical="center" wrapText="1"/>
      <protection/>
    </xf>
    <xf numFmtId="4" fontId="21" fillId="0" borderId="0" xfId="0" applyNumberFormat="1" applyFont="1" applyAlignment="1">
      <alignment horizontal="left" wrapText="1"/>
    </xf>
    <xf numFmtId="4" fontId="21" fillId="0" borderId="0" xfId="0" applyNumberFormat="1" applyFont="1" applyAlignment="1">
      <alignment wrapText="1"/>
    </xf>
    <xf numFmtId="4" fontId="16" fillId="0" borderId="0" xfId="53" applyNumberFormat="1" applyFont="1" applyFill="1" applyAlignment="1">
      <alignment vertical="center" wrapText="1"/>
      <protection/>
    </xf>
    <xf numFmtId="4" fontId="28" fillId="0" borderId="10" xfId="54" applyNumberFormat="1" applyFont="1" applyFill="1" applyBorder="1" applyAlignment="1">
      <alignment horizontal="right" vertical="center" wrapText="1"/>
      <protection/>
    </xf>
    <xf numFmtId="0" fontId="2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20" fillId="0" borderId="0" xfId="0" applyNumberFormat="1" applyFont="1" applyAlignment="1">
      <alignment vertical="center"/>
    </xf>
    <xf numFmtId="0" fontId="29" fillId="0" borderId="10" xfId="0" applyFont="1" applyBorder="1" applyAlignment="1">
      <alignment horizontal="left" vertical="center"/>
    </xf>
    <xf numFmtId="0" fontId="32" fillId="0" borderId="16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left" vertical="center" wrapText="1"/>
    </xf>
    <xf numFmtId="3" fontId="29" fillId="0" borderId="10" xfId="0" applyNumberFormat="1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4" fontId="29" fillId="0" borderId="0" xfId="0" applyNumberFormat="1" applyFont="1" applyAlignment="1">
      <alignment horizontal="center" vertical="center"/>
    </xf>
    <xf numFmtId="4" fontId="33" fillId="0" borderId="0" xfId="0" applyNumberFormat="1" applyFont="1" applyAlignment="1">
      <alignment vertical="center"/>
    </xf>
    <xf numFmtId="4" fontId="29" fillId="0" borderId="0" xfId="0" applyNumberFormat="1" applyFont="1" applyAlignment="1">
      <alignment vertical="center"/>
    </xf>
    <xf numFmtId="4" fontId="29" fillId="0" borderId="0" xfId="0" applyNumberFormat="1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180" fontId="8" fillId="0" borderId="0" xfId="53" applyNumberFormat="1" applyFont="1" applyBorder="1" applyAlignment="1" applyProtection="1">
      <alignment horizontal="left" vertical="center" wrapText="1"/>
      <protection hidden="1"/>
    </xf>
    <xf numFmtId="0" fontId="29" fillId="0" borderId="0" xfId="0" applyFont="1" applyFill="1" applyAlignment="1">
      <alignment horizontal="right" vertical="center" wrapText="1"/>
    </xf>
    <xf numFmtId="0" fontId="32" fillId="0" borderId="0" xfId="0" applyFont="1" applyFill="1" applyAlignment="1">
      <alignment horizontal="right" vertical="center"/>
    </xf>
    <xf numFmtId="0" fontId="33" fillId="0" borderId="10" xfId="0" applyFont="1" applyFill="1" applyBorder="1" applyAlignment="1">
      <alignment horizontal="center" vertical="center"/>
    </xf>
    <xf numFmtId="4" fontId="34" fillId="0" borderId="10" xfId="0" applyNumberFormat="1" applyFont="1" applyFill="1" applyBorder="1" applyAlignment="1">
      <alignment horizontal="right" vertical="center"/>
    </xf>
    <xf numFmtId="4" fontId="33" fillId="0" borderId="10" xfId="0" applyNumberFormat="1" applyFont="1" applyFill="1" applyBorder="1" applyAlignment="1">
      <alignment horizontal="right" vertical="center"/>
    </xf>
    <xf numFmtId="4" fontId="29" fillId="0" borderId="10" xfId="0" applyNumberFormat="1" applyFont="1" applyFill="1" applyBorder="1" applyAlignment="1">
      <alignment horizontal="right" vertical="center"/>
    </xf>
    <xf numFmtId="4" fontId="29" fillId="0" borderId="10" xfId="0" applyNumberFormat="1" applyFont="1" applyFill="1" applyBorder="1" applyAlignment="1">
      <alignment vertical="center"/>
    </xf>
    <xf numFmtId="4" fontId="29" fillId="0" borderId="0" xfId="0" applyNumberFormat="1" applyFont="1" applyFill="1" applyAlignment="1">
      <alignment vertical="center"/>
    </xf>
    <xf numFmtId="4" fontId="29" fillId="0" borderId="0" xfId="0" applyNumberFormat="1" applyFont="1" applyFill="1" applyAlignment="1" applyProtection="1">
      <alignment vertical="center"/>
      <protection locked="0"/>
    </xf>
    <xf numFmtId="0" fontId="29" fillId="0" borderId="0" xfId="0" applyFont="1" applyFill="1" applyAlignment="1">
      <alignment vertical="center"/>
    </xf>
    <xf numFmtId="49" fontId="16" fillId="0" borderId="17" xfId="54" applyNumberFormat="1" applyFont="1" applyFill="1" applyBorder="1" applyAlignment="1">
      <alignment horizontal="center" vertical="center" wrapText="1"/>
      <protection/>
    </xf>
    <xf numFmtId="49" fontId="16" fillId="0" borderId="18" xfId="54" applyNumberFormat="1" applyFont="1" applyFill="1" applyBorder="1" applyAlignment="1">
      <alignment horizontal="center" vertical="center" wrapText="1"/>
      <protection/>
    </xf>
    <xf numFmtId="49" fontId="16" fillId="0" borderId="19" xfId="54" applyNumberFormat="1" applyFont="1" applyFill="1" applyBorder="1" applyAlignment="1">
      <alignment horizontal="center" vertical="center" wrapText="1"/>
      <protection/>
    </xf>
    <xf numFmtId="49" fontId="16" fillId="0" borderId="0" xfId="54" applyNumberFormat="1" applyFont="1" applyFill="1" applyBorder="1" applyAlignment="1">
      <alignment horizontal="center" vertical="center" wrapText="1"/>
      <protection/>
    </xf>
    <xf numFmtId="49" fontId="16" fillId="0" borderId="20" xfId="54" applyNumberFormat="1" applyFont="1" applyFill="1" applyBorder="1" applyAlignment="1">
      <alignment horizontal="center" vertical="center" wrapText="1"/>
      <protection/>
    </xf>
    <xf numFmtId="49" fontId="16" fillId="0" borderId="12" xfId="54" applyNumberFormat="1" applyFont="1" applyFill="1" applyBorder="1" applyAlignment="1">
      <alignment horizontal="center" vertical="center" wrapText="1"/>
      <protection/>
    </xf>
    <xf numFmtId="49" fontId="16" fillId="0" borderId="13" xfId="54" applyNumberFormat="1" applyFont="1" applyFill="1" applyBorder="1" applyAlignment="1">
      <alignment horizontal="center" vertical="center" wrapText="1"/>
      <protection/>
    </xf>
    <xf numFmtId="49" fontId="16" fillId="0" borderId="14" xfId="54" applyNumberFormat="1" applyFont="1" applyFill="1" applyBorder="1" applyAlignment="1">
      <alignment horizontal="center" vertical="center" wrapText="1"/>
      <protection/>
    </xf>
    <xf numFmtId="49" fontId="16" fillId="0" borderId="10" xfId="54" applyNumberFormat="1" applyFont="1" applyFill="1" applyBorder="1" applyAlignment="1">
      <alignment horizontal="center" vertical="center" wrapText="1"/>
      <protection/>
    </xf>
    <xf numFmtId="0" fontId="36" fillId="0" borderId="21" xfId="0" applyFont="1" applyBorder="1" applyAlignment="1">
      <alignment horizontal="right" vertical="center" wrapText="1"/>
    </xf>
    <xf numFmtId="0" fontId="36" fillId="0" borderId="16" xfId="0" applyFont="1" applyBorder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31" fillId="0" borderId="0" xfId="0" applyFont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4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49" fontId="23" fillId="0" borderId="10" xfId="0" applyNumberFormat="1" applyFont="1" applyBorder="1" applyAlignment="1">
      <alignment horizontal="center" vertical="center" wrapText="1"/>
    </xf>
    <xf numFmtId="4" fontId="5" fillId="0" borderId="0" xfId="53" applyNumberFormat="1" applyFont="1" applyAlignment="1">
      <alignment horizontal="right" vertical="center" wrapText="1"/>
      <protection/>
    </xf>
    <xf numFmtId="0" fontId="6" fillId="0" borderId="13" xfId="53" applyFont="1" applyBorder="1" applyAlignment="1" applyProtection="1">
      <alignment horizontal="center" vertical="center" wrapText="1"/>
      <protection hidden="1"/>
    </xf>
    <xf numFmtId="0" fontId="16" fillId="0" borderId="0" xfId="0" applyFont="1" applyFill="1" applyAlignment="1">
      <alignment horizontal="center" vertical="center" wrapText="1"/>
    </xf>
    <xf numFmtId="49" fontId="16" fillId="0" borderId="22" xfId="54" applyNumberFormat="1" applyFont="1" applyFill="1" applyBorder="1" applyAlignment="1">
      <alignment horizontal="center" vertical="center" wrapText="1"/>
      <protection/>
    </xf>
    <xf numFmtId="0" fontId="1" fillId="0" borderId="0" xfId="54" applyFont="1" applyFill="1" applyAlignment="1">
      <alignment horizontal="center" vertic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17" fillId="0" borderId="21" xfId="54" applyFont="1" applyFill="1" applyBorder="1" applyAlignment="1">
      <alignment horizontal="center" vertical="center" wrapText="1"/>
      <protection/>
    </xf>
    <xf numFmtId="0" fontId="17" fillId="0" borderId="23" xfId="54" applyFont="1" applyFill="1" applyBorder="1" applyAlignment="1">
      <alignment horizontal="center" vertical="center" wrapText="1"/>
      <protection/>
    </xf>
    <xf numFmtId="0" fontId="17" fillId="0" borderId="16" xfId="54" applyFont="1" applyFill="1" applyBorder="1" applyAlignment="1">
      <alignment horizontal="center" vertical="center" wrapText="1"/>
      <protection/>
    </xf>
    <xf numFmtId="4" fontId="16" fillId="0" borderId="15" xfId="54" applyNumberFormat="1" applyFont="1" applyFill="1" applyBorder="1" applyAlignment="1">
      <alignment horizontal="center" vertical="center" wrapText="1"/>
      <protection/>
    </xf>
    <xf numFmtId="4" fontId="16" fillId="0" borderId="11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16" fillId="0" borderId="10" xfId="54" applyFont="1" applyFill="1" applyBorder="1" applyAlignment="1">
      <alignment horizontal="center" vertical="center" wrapText="1"/>
      <protection/>
    </xf>
    <xf numFmtId="0" fontId="16" fillId="0" borderId="21" xfId="55" applyFont="1" applyFill="1" applyBorder="1" applyAlignment="1">
      <alignment horizontal="center" vertical="center" wrapText="1"/>
      <protection/>
    </xf>
    <xf numFmtId="0" fontId="16" fillId="0" borderId="23" xfId="55" applyFont="1" applyFill="1" applyBorder="1" applyAlignment="1">
      <alignment horizontal="center" vertical="center" wrapText="1"/>
      <protection/>
    </xf>
    <xf numFmtId="0" fontId="16" fillId="0" borderId="16" xfId="55" applyFont="1" applyFill="1" applyBorder="1" applyAlignment="1">
      <alignment horizontal="center" vertical="center" wrapText="1"/>
      <protection/>
    </xf>
    <xf numFmtId="0" fontId="61" fillId="0" borderId="0" xfId="55" applyFont="1" applyAlignment="1">
      <alignment horizontal="center"/>
      <protection/>
    </xf>
    <xf numFmtId="0" fontId="37" fillId="0" borderId="0" xfId="55" applyAlignment="1">
      <alignment horizontal="right" vertical="center" wrapText="1"/>
      <protection/>
    </xf>
    <xf numFmtId="0" fontId="37" fillId="0" borderId="0" xfId="55" applyFont="1" applyAlignment="1">
      <alignment horizontal="right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2 5" xfId="55"/>
    <cellStyle name="Обычный 5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20\2020-2022\2021-2023\&#1048;&#1079;&#1084;&#1077;&#1085;&#1077;&#1085;&#1080;&#1103;\06%20&#1048;&#1102;&#1085;&#1100;\&#1087;&#1088;&#1080;&#1083;&#1086;&#1078;&#1077;&#1085;&#1080;&#1103;%20&#1082;%20&#1088;&#1077;&#1096;&#1077;&#1085;&#1080;&#1102;%2017%20&#1086;&#1090;%2022.06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6">
        <row r="28">
          <cell r="G28">
            <v>155000</v>
          </cell>
        </row>
        <row r="51">
          <cell r="G51">
            <v>59000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view="pageBreakPreview" zoomScale="60" zoomScalePageLayoutView="0" workbookViewId="0" topLeftCell="A1">
      <selection activeCell="B1" sqref="B1:C3"/>
    </sheetView>
  </sheetViews>
  <sheetFormatPr defaultColWidth="11.57421875" defaultRowHeight="12.75"/>
  <cols>
    <col min="1" max="1" width="42.28125" style="218" bestFit="1" customWidth="1"/>
    <col min="2" max="2" width="181.8515625" style="221" customWidth="1"/>
    <col min="3" max="3" width="23.7109375" style="248" bestFit="1" customWidth="1"/>
    <col min="4" max="4" width="18.57421875" style="219" bestFit="1" customWidth="1"/>
    <col min="5" max="5" width="18.421875" style="219" bestFit="1" customWidth="1"/>
    <col min="6" max="16384" width="11.57421875" style="219" customWidth="1"/>
  </cols>
  <sheetData>
    <row r="1" spans="2:3" ht="18.75" customHeight="1">
      <c r="B1" s="260" t="s">
        <v>91</v>
      </c>
      <c r="C1" s="260"/>
    </row>
    <row r="2" spans="2:3" ht="18.75" customHeight="1">
      <c r="B2" s="260"/>
      <c r="C2" s="260"/>
    </row>
    <row r="3" spans="2:3" ht="18.75" customHeight="1">
      <c r="B3" s="260"/>
      <c r="C3" s="260"/>
    </row>
    <row r="4" spans="2:3" ht="18">
      <c r="B4" s="220"/>
      <c r="C4" s="239"/>
    </row>
    <row r="5" spans="1:3" ht="48" customHeight="1">
      <c r="A5" s="261" t="s">
        <v>50</v>
      </c>
      <c r="B5" s="261"/>
      <c r="C5" s="261"/>
    </row>
    <row r="6" ht="21">
      <c r="C6" s="240" t="s">
        <v>51</v>
      </c>
    </row>
    <row r="7" spans="1:3" s="224" customFormat="1" ht="22.5">
      <c r="A7" s="222" t="s">
        <v>52</v>
      </c>
      <c r="B7" s="223" t="s">
        <v>53</v>
      </c>
      <c r="C7" s="241">
        <v>2022</v>
      </c>
    </row>
    <row r="8" spans="1:4" ht="18.75" customHeight="1">
      <c r="A8" s="262" t="s">
        <v>54</v>
      </c>
      <c r="B8" s="263"/>
      <c r="C8" s="242">
        <f>C9+C20</f>
        <v>51988208.11</v>
      </c>
      <c r="D8" s="225"/>
    </row>
    <row r="9" spans="1:4" ht="18.75" customHeight="1">
      <c r="A9" s="264" t="s">
        <v>55</v>
      </c>
      <c r="B9" s="265"/>
      <c r="C9" s="243">
        <f>C11+C13+C14+C17+C19+C18</f>
        <v>45313220.03</v>
      </c>
      <c r="D9" s="225"/>
    </row>
    <row r="10" spans="1:3" ht="18.75" customHeight="1">
      <c r="A10" s="226" t="s">
        <v>56</v>
      </c>
      <c r="B10" s="227" t="s">
        <v>57</v>
      </c>
      <c r="C10" s="243"/>
    </row>
    <row r="11" spans="1:3" ht="21">
      <c r="A11" s="226" t="s">
        <v>58</v>
      </c>
      <c r="B11" s="228" t="s">
        <v>59</v>
      </c>
      <c r="C11" s="244">
        <f>SUM(C12)</f>
        <v>3007000</v>
      </c>
    </row>
    <row r="12" spans="1:3" ht="21">
      <c r="A12" s="226" t="s">
        <v>60</v>
      </c>
      <c r="B12" s="228" t="s">
        <v>61</v>
      </c>
      <c r="C12" s="244">
        <v>3007000</v>
      </c>
    </row>
    <row r="13" spans="1:3" ht="21">
      <c r="A13" s="226" t="s">
        <v>62</v>
      </c>
      <c r="B13" s="228" t="s">
        <v>63</v>
      </c>
      <c r="C13" s="244">
        <f>169592.35+33220.03</f>
        <v>202812.38</v>
      </c>
    </row>
    <row r="14" spans="1:3" ht="21">
      <c r="A14" s="226" t="s">
        <v>64</v>
      </c>
      <c r="B14" s="228" t="s">
        <v>65</v>
      </c>
      <c r="C14" s="244">
        <f>C15+C16</f>
        <v>37099407.65</v>
      </c>
    </row>
    <row r="15" spans="1:3" ht="42">
      <c r="A15" s="226" t="s">
        <v>66</v>
      </c>
      <c r="B15" s="228" t="s">
        <v>67</v>
      </c>
      <c r="C15" s="244">
        <f>6543000+1140000</f>
        <v>7683000</v>
      </c>
    </row>
    <row r="16" spans="1:3" ht="21">
      <c r="A16" s="226" t="s">
        <v>68</v>
      </c>
      <c r="B16" s="228" t="s">
        <v>498</v>
      </c>
      <c r="C16" s="245">
        <f>25545000+4000000-128592.35</f>
        <v>29416407.65</v>
      </c>
    </row>
    <row r="17" spans="1:3" ht="42">
      <c r="A17" s="226" t="s">
        <v>69</v>
      </c>
      <c r="B17" s="228" t="s">
        <v>70</v>
      </c>
      <c r="C17" s="244">
        <v>10000</v>
      </c>
    </row>
    <row r="18" spans="1:3" ht="42">
      <c r="A18" s="226" t="s">
        <v>71</v>
      </c>
      <c r="B18" s="228" t="s">
        <v>72</v>
      </c>
      <c r="C18" s="244">
        <v>0</v>
      </c>
    </row>
    <row r="19" spans="1:3" ht="21">
      <c r="A19" s="226" t="s">
        <v>73</v>
      </c>
      <c r="B19" s="228" t="s">
        <v>74</v>
      </c>
      <c r="C19" s="244">
        <v>4994000</v>
      </c>
    </row>
    <row r="20" spans="1:3" ht="20.25" customHeight="1">
      <c r="A20" s="266" t="s">
        <v>75</v>
      </c>
      <c r="B20" s="267"/>
      <c r="C20" s="243">
        <f>C21+C24+C25+C28+C29+C30+C31+C32+C34+C33</f>
        <v>6674988.080000001</v>
      </c>
    </row>
    <row r="21" spans="1:3" ht="21">
      <c r="A21" s="226" t="s">
        <v>76</v>
      </c>
      <c r="B21" s="228" t="s">
        <v>77</v>
      </c>
      <c r="C21" s="244">
        <f>C22+C23</f>
        <v>346003.64</v>
      </c>
    </row>
    <row r="22" spans="1:3" ht="63">
      <c r="A22" s="226" t="s">
        <v>168</v>
      </c>
      <c r="B22" s="228" t="s">
        <v>169</v>
      </c>
      <c r="C22" s="244">
        <v>166003.64</v>
      </c>
    </row>
    <row r="23" spans="1:3" ht="42">
      <c r="A23" s="226" t="s">
        <v>78</v>
      </c>
      <c r="B23" s="228" t="s">
        <v>79</v>
      </c>
      <c r="C23" s="244">
        <v>180000</v>
      </c>
    </row>
    <row r="24" spans="1:3" ht="63">
      <c r="A24" s="226" t="s">
        <v>80</v>
      </c>
      <c r="B24" s="229" t="s">
        <v>81</v>
      </c>
      <c r="C24" s="244">
        <v>1080000</v>
      </c>
    </row>
    <row r="25" spans="1:3" ht="21">
      <c r="A25" s="226" t="s">
        <v>82</v>
      </c>
      <c r="B25" s="228" t="s">
        <v>83</v>
      </c>
      <c r="C25" s="244">
        <f>C26+C27</f>
        <v>850000</v>
      </c>
    </row>
    <row r="26" spans="1:3" ht="42">
      <c r="A26" s="226" t="s">
        <v>84</v>
      </c>
      <c r="B26" s="228" t="s">
        <v>85</v>
      </c>
      <c r="C26" s="244">
        <v>0</v>
      </c>
    </row>
    <row r="27" spans="1:3" ht="21">
      <c r="A27" s="226" t="s">
        <v>86</v>
      </c>
      <c r="B27" s="228" t="s">
        <v>87</v>
      </c>
      <c r="C27" s="244">
        <v>850000</v>
      </c>
    </row>
    <row r="28" spans="1:3" ht="21">
      <c r="A28" s="226" t="s">
        <v>88</v>
      </c>
      <c r="B28" s="228" t="s">
        <v>89</v>
      </c>
      <c r="C28" s="244">
        <v>0</v>
      </c>
    </row>
    <row r="29" spans="1:3" ht="63">
      <c r="A29" s="226" t="s">
        <v>90</v>
      </c>
      <c r="B29" s="228" t="s">
        <v>96</v>
      </c>
      <c r="C29" s="244">
        <v>0</v>
      </c>
    </row>
    <row r="30" spans="1:3" ht="42">
      <c r="A30" s="226" t="s">
        <v>97</v>
      </c>
      <c r="B30" s="228" t="s">
        <v>98</v>
      </c>
      <c r="C30" s="244">
        <f>4000000-255412.75</f>
        <v>3744587.25</v>
      </c>
    </row>
    <row r="31" spans="1:3" ht="42">
      <c r="A31" s="230" t="s">
        <v>99</v>
      </c>
      <c r="B31" s="228" t="s">
        <v>100</v>
      </c>
      <c r="C31" s="244">
        <f>35689.08+96021.66+308446.45</f>
        <v>440157.19</v>
      </c>
    </row>
    <row r="32" spans="1:3" ht="21">
      <c r="A32" s="226" t="s">
        <v>101</v>
      </c>
      <c r="B32" s="228" t="s">
        <v>102</v>
      </c>
      <c r="C32" s="244">
        <v>200000</v>
      </c>
    </row>
    <row r="33" spans="1:3" ht="21">
      <c r="A33" s="226" t="s">
        <v>103</v>
      </c>
      <c r="B33" s="228" t="s">
        <v>102</v>
      </c>
      <c r="C33" s="244">
        <v>3740</v>
      </c>
    </row>
    <row r="34" spans="1:3" ht="42">
      <c r="A34" s="226" t="s">
        <v>104</v>
      </c>
      <c r="B34" s="228" t="s">
        <v>105</v>
      </c>
      <c r="C34" s="244">
        <v>10500</v>
      </c>
    </row>
    <row r="35" spans="1:3" ht="22.5">
      <c r="A35" s="226" t="s">
        <v>106</v>
      </c>
      <c r="B35" s="223" t="s">
        <v>107</v>
      </c>
      <c r="C35" s="242">
        <f>C37+C40+C52+C54+C58</f>
        <v>49635327.46</v>
      </c>
    </row>
    <row r="36" spans="1:5" ht="21">
      <c r="A36" s="226" t="s">
        <v>108</v>
      </c>
      <c r="B36" s="228" t="s">
        <v>109</v>
      </c>
      <c r="C36" s="243">
        <f>C37</f>
        <v>4069000</v>
      </c>
      <c r="D36" s="231"/>
      <c r="E36" s="232"/>
    </row>
    <row r="37" spans="1:5" ht="21">
      <c r="A37" s="226" t="s">
        <v>110</v>
      </c>
      <c r="B37" s="228" t="s">
        <v>111</v>
      </c>
      <c r="C37" s="243">
        <f>C38+C39</f>
        <v>4069000</v>
      </c>
      <c r="D37" s="233"/>
      <c r="E37" s="233"/>
    </row>
    <row r="38" spans="1:5" ht="21">
      <c r="A38" s="226" t="s">
        <v>112</v>
      </c>
      <c r="B38" s="228" t="s">
        <v>113</v>
      </c>
      <c r="C38" s="244">
        <f>3391000+128000</f>
        <v>3519000</v>
      </c>
      <c r="D38" s="234"/>
      <c r="E38" s="234"/>
    </row>
    <row r="39" spans="1:5" ht="42">
      <c r="A39" s="226" t="s">
        <v>114</v>
      </c>
      <c r="B39" s="228" t="s">
        <v>115</v>
      </c>
      <c r="C39" s="244">
        <f>400000+150000</f>
        <v>550000</v>
      </c>
      <c r="D39" s="234"/>
      <c r="E39" s="234"/>
    </row>
    <row r="40" spans="1:5" ht="21">
      <c r="A40" s="226" t="s">
        <v>116</v>
      </c>
      <c r="B40" s="228" t="s">
        <v>117</v>
      </c>
      <c r="C40" s="243">
        <f>C41+C42+C43+C44+C45+C46+C47+C48+C51+C49+C50</f>
        <v>20996049</v>
      </c>
      <c r="D40" s="233"/>
      <c r="E40" s="235"/>
    </row>
    <row r="41" spans="1:3" ht="42">
      <c r="A41" s="226" t="s">
        <v>118</v>
      </c>
      <c r="B41" s="228" t="s">
        <v>119</v>
      </c>
      <c r="C41" s="244">
        <f>5343273+5994488</f>
        <v>11337761</v>
      </c>
    </row>
    <row r="42" spans="1:3" ht="21">
      <c r="A42" s="226" t="s">
        <v>120</v>
      </c>
      <c r="B42" s="228" t="s">
        <v>121</v>
      </c>
      <c r="C42" s="244">
        <f>899997+494087-130668</f>
        <v>1263416</v>
      </c>
    </row>
    <row r="43" spans="1:3" ht="21">
      <c r="A43" s="226" t="s">
        <v>122</v>
      </c>
      <c r="B43" s="228" t="s">
        <v>123</v>
      </c>
      <c r="C43" s="244">
        <f>4573299+190554+1506013+62751</f>
        <v>6332617</v>
      </c>
    </row>
    <row r="44" spans="1:3" ht="84">
      <c r="A44" s="226" t="s">
        <v>124</v>
      </c>
      <c r="B44" s="229" t="s">
        <v>125</v>
      </c>
      <c r="C44" s="244">
        <v>0</v>
      </c>
    </row>
    <row r="45" spans="1:3" ht="63">
      <c r="A45" s="226" t="s">
        <v>126</v>
      </c>
      <c r="B45" s="229" t="s">
        <v>127</v>
      </c>
      <c r="C45" s="244">
        <v>0</v>
      </c>
    </row>
    <row r="46" spans="1:3" ht="42">
      <c r="A46" s="226" t="s">
        <v>159</v>
      </c>
      <c r="B46" s="229" t="s">
        <v>154</v>
      </c>
      <c r="C46" s="244">
        <v>15769</v>
      </c>
    </row>
    <row r="47" spans="1:3" ht="42">
      <c r="A47" s="226" t="s">
        <v>128</v>
      </c>
      <c r="B47" s="229" t="s">
        <v>129</v>
      </c>
      <c r="C47" s="244">
        <v>61200</v>
      </c>
    </row>
    <row r="48" spans="1:2" ht="21">
      <c r="A48" s="226" t="s">
        <v>130</v>
      </c>
      <c r="B48" s="229" t="s">
        <v>131</v>
      </c>
    </row>
    <row r="49" spans="1:3" ht="42">
      <c r="A49" s="226" t="s">
        <v>132</v>
      </c>
      <c r="B49" s="229" t="s">
        <v>133</v>
      </c>
      <c r="C49" s="244">
        <v>456418</v>
      </c>
    </row>
    <row r="50" spans="1:3" ht="21">
      <c r="A50" s="226" t="s">
        <v>134</v>
      </c>
      <c r="B50" s="229" t="s">
        <v>135</v>
      </c>
      <c r="C50" s="244">
        <v>1270868</v>
      </c>
    </row>
    <row r="51" spans="1:3" ht="42">
      <c r="A51" s="226" t="s">
        <v>166</v>
      </c>
      <c r="B51" s="229" t="s">
        <v>167</v>
      </c>
      <c r="C51" s="244">
        <v>258000</v>
      </c>
    </row>
    <row r="52" spans="1:3" ht="21">
      <c r="A52" s="226" t="s">
        <v>136</v>
      </c>
      <c r="B52" s="229" t="s">
        <v>137</v>
      </c>
      <c r="C52" s="243">
        <f>C53</f>
        <v>487824</v>
      </c>
    </row>
    <row r="53" spans="1:3" ht="42">
      <c r="A53" s="226" t="s">
        <v>138</v>
      </c>
      <c r="B53" s="228" t="s">
        <v>139</v>
      </c>
      <c r="C53" s="244">
        <v>487824</v>
      </c>
    </row>
    <row r="54" spans="1:3" ht="21">
      <c r="A54" s="226" t="s">
        <v>140</v>
      </c>
      <c r="B54" s="228" t="s">
        <v>141</v>
      </c>
      <c r="C54" s="243">
        <f>C55+C56+C57</f>
        <v>22567004.46</v>
      </c>
    </row>
    <row r="55" spans="1:3" ht="42">
      <c r="A55" s="226" t="s">
        <v>142</v>
      </c>
      <c r="B55" s="228" t="s">
        <v>143</v>
      </c>
      <c r="C55" s="244">
        <f>1657168.46+300000</f>
        <v>1957168.46</v>
      </c>
    </row>
    <row r="56" spans="1:3" ht="42">
      <c r="A56" s="226" t="s">
        <v>160</v>
      </c>
      <c r="B56" s="229" t="s">
        <v>155</v>
      </c>
      <c r="C56" s="244">
        <v>17500000</v>
      </c>
    </row>
    <row r="57" spans="1:3" ht="21">
      <c r="A57" s="226" t="s">
        <v>144</v>
      </c>
      <c r="B57" s="228" t="s">
        <v>145</v>
      </c>
      <c r="C57" s="244">
        <f>156156+103680+2850000</f>
        <v>3109836</v>
      </c>
    </row>
    <row r="58" spans="1:3" ht="20.25" customHeight="1">
      <c r="A58" s="268" t="s">
        <v>146</v>
      </c>
      <c r="B58" s="269"/>
      <c r="C58" s="243">
        <f>C59+C60+C61</f>
        <v>1515450</v>
      </c>
    </row>
    <row r="59" spans="1:3" ht="42">
      <c r="A59" s="226" t="s">
        <v>147</v>
      </c>
      <c r="B59" s="228" t="s">
        <v>148</v>
      </c>
      <c r="C59" s="244">
        <v>30000</v>
      </c>
    </row>
    <row r="60" spans="1:3" ht="42">
      <c r="A60" s="226" t="s">
        <v>149</v>
      </c>
      <c r="B60" s="228" t="s">
        <v>150</v>
      </c>
      <c r="C60" s="244">
        <v>220000</v>
      </c>
    </row>
    <row r="61" spans="1:3" ht="21">
      <c r="A61" s="226" t="s">
        <v>151</v>
      </c>
      <c r="B61" s="228" t="s">
        <v>152</v>
      </c>
      <c r="C61" s="244">
        <f>50000+1100000+100000+15450</f>
        <v>1265450</v>
      </c>
    </row>
    <row r="62" spans="1:4" ht="18.75" customHeight="1">
      <c r="A62" s="258" t="s">
        <v>153</v>
      </c>
      <c r="B62" s="259"/>
      <c r="C62" s="242">
        <f>C8+C35</f>
        <v>101623535.57</v>
      </c>
      <c r="D62" s="225"/>
    </row>
    <row r="63" spans="2:3" ht="18">
      <c r="B63" s="236"/>
      <c r="C63" s="246"/>
    </row>
    <row r="64" ht="18">
      <c r="C64" s="246"/>
    </row>
    <row r="65" ht="18">
      <c r="C65" s="246"/>
    </row>
    <row r="66" spans="2:3" ht="18">
      <c r="B66" s="237"/>
      <c r="C66" s="246"/>
    </row>
    <row r="67" spans="2:3" ht="18">
      <c r="B67" s="237"/>
      <c r="C67" s="247"/>
    </row>
    <row r="68" ht="18">
      <c r="C68" s="246"/>
    </row>
    <row r="69" ht="18">
      <c r="C69" s="246"/>
    </row>
    <row r="70" ht="18">
      <c r="C70" s="246"/>
    </row>
  </sheetData>
  <sheetProtection/>
  <mergeCells count="7">
    <mergeCell ref="A62:B62"/>
    <mergeCell ref="B1:C3"/>
    <mergeCell ref="A5:C5"/>
    <mergeCell ref="A8:B8"/>
    <mergeCell ref="A9:B9"/>
    <mergeCell ref="A20:B20"/>
    <mergeCell ref="A58:B58"/>
  </mergeCells>
  <printOptions/>
  <pageMargins left="0.7" right="0.7" top="0.75" bottom="0.75" header="0.3" footer="0.3"/>
  <pageSetup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view="pageBreakPreview" zoomScale="60" zoomScalePageLayoutView="0" workbookViewId="0" topLeftCell="A1">
      <selection activeCell="C1" sqref="C1:E5"/>
    </sheetView>
  </sheetViews>
  <sheetFormatPr defaultColWidth="9.140625" defaultRowHeight="12.75"/>
  <cols>
    <col min="1" max="1" width="19.7109375" style="112" customWidth="1"/>
    <col min="2" max="2" width="104.28125" style="112" customWidth="1"/>
    <col min="3" max="3" width="22.7109375" style="112" customWidth="1"/>
    <col min="4" max="4" width="22.8515625" style="112" customWidth="1"/>
    <col min="5" max="5" width="19.8515625" style="112" bestFit="1" customWidth="1"/>
    <col min="6" max="6" width="21.421875" style="119" customWidth="1"/>
    <col min="7" max="7" width="17.7109375" style="112" bestFit="1" customWidth="1"/>
    <col min="8" max="8" width="9.140625" style="112" customWidth="1"/>
    <col min="9" max="9" width="16.8515625" style="112" bestFit="1" customWidth="1"/>
    <col min="10" max="10" width="10.140625" style="112" bestFit="1" customWidth="1"/>
    <col min="11" max="11" width="3.00390625" style="112" bestFit="1" customWidth="1"/>
    <col min="12" max="16384" width="9.140625" style="112" customWidth="1"/>
  </cols>
  <sheetData>
    <row r="1" spans="3:5" ht="15" customHeight="1">
      <c r="C1" s="273" t="s">
        <v>92</v>
      </c>
      <c r="D1" s="273"/>
      <c r="E1" s="273"/>
    </row>
    <row r="2" spans="3:5" ht="15">
      <c r="C2" s="273"/>
      <c r="D2" s="273"/>
      <c r="E2" s="273"/>
    </row>
    <row r="3" spans="3:5" ht="15">
      <c r="C3" s="273"/>
      <c r="D3" s="273"/>
      <c r="E3" s="273"/>
    </row>
    <row r="4" spans="3:5" ht="15">
      <c r="C4" s="273"/>
      <c r="D4" s="273"/>
      <c r="E4" s="273"/>
    </row>
    <row r="5" spans="3:5" ht="15">
      <c r="C5" s="273"/>
      <c r="D5" s="273"/>
      <c r="E5" s="273"/>
    </row>
    <row r="6" spans="1:5" ht="17.25">
      <c r="A6" s="274" t="s">
        <v>519</v>
      </c>
      <c r="B6" s="274"/>
      <c r="C6" s="274"/>
      <c r="D6" s="274"/>
      <c r="E6" s="274"/>
    </row>
    <row r="7" spans="1:5" ht="40.5" customHeight="1">
      <c r="A7" s="275" t="s">
        <v>35</v>
      </c>
      <c r="B7" s="275"/>
      <c r="C7" s="275"/>
      <c r="D7" s="275"/>
      <c r="E7" s="275"/>
    </row>
    <row r="8" spans="1:5" ht="15">
      <c r="A8" s="113"/>
      <c r="B8" s="113"/>
      <c r="C8" s="113"/>
      <c r="D8" s="113"/>
      <c r="E8" s="113"/>
    </row>
    <row r="9" ht="15">
      <c r="E9" s="114" t="s">
        <v>520</v>
      </c>
    </row>
    <row r="10" spans="1:5" ht="15">
      <c r="A10" s="270" t="s">
        <v>521</v>
      </c>
      <c r="B10" s="270" t="s">
        <v>522</v>
      </c>
      <c r="C10" s="270">
        <v>2022</v>
      </c>
      <c r="D10" s="270"/>
      <c r="E10" s="270"/>
    </row>
    <row r="11" spans="1:5" ht="15">
      <c r="A11" s="270"/>
      <c r="B11" s="270"/>
      <c r="C11" s="270" t="s">
        <v>523</v>
      </c>
      <c r="D11" s="270" t="s">
        <v>524</v>
      </c>
      <c r="E11" s="270" t="s">
        <v>525</v>
      </c>
    </row>
    <row r="12" spans="1:5" ht="15">
      <c r="A12" s="270"/>
      <c r="B12" s="270"/>
      <c r="C12" s="270"/>
      <c r="D12" s="270"/>
      <c r="E12" s="270"/>
    </row>
    <row r="13" spans="1:11" ht="15">
      <c r="A13" s="270"/>
      <c r="B13" s="270"/>
      <c r="C13" s="270"/>
      <c r="D13" s="270"/>
      <c r="E13" s="270"/>
      <c r="I13" s="116"/>
      <c r="J13" s="116"/>
      <c r="K13" s="116"/>
    </row>
    <row r="14" spans="1:5" ht="15">
      <c r="A14" s="270"/>
      <c r="B14" s="270"/>
      <c r="C14" s="270"/>
      <c r="D14" s="270"/>
      <c r="E14" s="270"/>
    </row>
    <row r="15" spans="1:9" ht="15">
      <c r="A15" s="277" t="s">
        <v>173</v>
      </c>
      <c r="B15" s="270" t="s">
        <v>526</v>
      </c>
      <c r="C15" s="271">
        <f>SUM(C17:C22)</f>
        <v>0</v>
      </c>
      <c r="D15" s="271">
        <f>SUM(D17:D22)</f>
        <v>10972745.77</v>
      </c>
      <c r="E15" s="271">
        <f>SUM(E17:E22)</f>
        <v>10972745.77</v>
      </c>
      <c r="I15" s="119"/>
    </row>
    <row r="16" spans="1:5" ht="15">
      <c r="A16" s="277"/>
      <c r="B16" s="270"/>
      <c r="C16" s="271"/>
      <c r="D16" s="271"/>
      <c r="E16" s="271"/>
    </row>
    <row r="17" spans="1:6" ht="30" customHeight="1">
      <c r="A17" s="120" t="s">
        <v>174</v>
      </c>
      <c r="B17" s="121" t="s">
        <v>527</v>
      </c>
      <c r="C17" s="122">
        <v>0</v>
      </c>
      <c r="D17" s="122">
        <f>7!H14</f>
        <v>1103300.01</v>
      </c>
      <c r="E17" s="122">
        <f aca="true" t="shared" si="0" ref="E17:E22">SUM(C17:D17)</f>
        <v>1103300.01</v>
      </c>
      <c r="F17" s="272"/>
    </row>
    <row r="18" spans="1:6" ht="30">
      <c r="A18" s="120" t="s">
        <v>175</v>
      </c>
      <c r="B18" s="123" t="s">
        <v>528</v>
      </c>
      <c r="C18" s="122">
        <v>0</v>
      </c>
      <c r="D18" s="122">
        <f>7!I15</f>
        <v>7655633.839999999</v>
      </c>
      <c r="E18" s="122">
        <f t="shared" si="0"/>
        <v>7655633.839999999</v>
      </c>
      <c r="F18" s="272"/>
    </row>
    <row r="19" spans="1:5" ht="30">
      <c r="A19" s="120" t="s">
        <v>176</v>
      </c>
      <c r="B19" s="123" t="s">
        <v>177</v>
      </c>
      <c r="C19" s="122"/>
      <c r="D19" s="122">
        <f>7!I30</f>
        <v>175927.88</v>
      </c>
      <c r="E19" s="122">
        <f>D19</f>
        <v>175927.88</v>
      </c>
    </row>
    <row r="20" spans="1:5" ht="15">
      <c r="A20" s="120" t="s">
        <v>178</v>
      </c>
      <c r="B20" s="123" t="s">
        <v>179</v>
      </c>
      <c r="C20" s="122"/>
      <c r="D20" s="122">
        <v>0</v>
      </c>
      <c r="E20" s="122">
        <v>0</v>
      </c>
    </row>
    <row r="21" spans="1:5" ht="15">
      <c r="A21" s="120" t="s">
        <v>180</v>
      </c>
      <c r="B21" s="123" t="s">
        <v>529</v>
      </c>
      <c r="C21" s="122"/>
      <c r="D21" s="122">
        <f>'[1]7'!G28</f>
        <v>155000</v>
      </c>
      <c r="E21" s="122">
        <f t="shared" si="0"/>
        <v>155000</v>
      </c>
    </row>
    <row r="22" spans="1:5" ht="15">
      <c r="A22" s="120" t="s">
        <v>181</v>
      </c>
      <c r="B22" s="123" t="s">
        <v>182</v>
      </c>
      <c r="C22" s="122">
        <v>0</v>
      </c>
      <c r="D22" s="122">
        <f>7!I41</f>
        <v>1882884.04</v>
      </c>
      <c r="E22" s="122">
        <f t="shared" si="0"/>
        <v>1882884.04</v>
      </c>
    </row>
    <row r="23" spans="1:5" ht="15">
      <c r="A23" s="117" t="s">
        <v>183</v>
      </c>
      <c r="B23" s="115" t="s">
        <v>184</v>
      </c>
      <c r="C23" s="118">
        <f>C24</f>
        <v>487824</v>
      </c>
      <c r="D23" s="118"/>
      <c r="E23" s="118">
        <f>SUM(E24)</f>
        <v>487824</v>
      </c>
    </row>
    <row r="24" spans="1:5" ht="15">
      <c r="A24" s="120" t="s">
        <v>185</v>
      </c>
      <c r="B24" s="123" t="s">
        <v>186</v>
      </c>
      <c r="C24" s="122">
        <f>7!I78</f>
        <v>487824</v>
      </c>
      <c r="D24" s="122"/>
      <c r="E24" s="122">
        <f>SUM(C24)</f>
        <v>487824</v>
      </c>
    </row>
    <row r="25" spans="1:5" ht="15">
      <c r="A25" s="117" t="s">
        <v>530</v>
      </c>
      <c r="B25" s="115" t="s">
        <v>531</v>
      </c>
      <c r="C25" s="118"/>
      <c r="D25" s="118">
        <f>SUM(D26:D28)</f>
        <v>172500</v>
      </c>
      <c r="E25" s="118">
        <f>SUM(C25:D25)</f>
        <v>172500</v>
      </c>
    </row>
    <row r="26" spans="1:5" ht="30">
      <c r="A26" s="120" t="s">
        <v>187</v>
      </c>
      <c r="B26" s="121" t="s">
        <v>532</v>
      </c>
      <c r="C26" s="124"/>
      <c r="D26" s="122">
        <f>7!I83</f>
        <v>113500</v>
      </c>
      <c r="E26" s="122">
        <f>SUM(C26:D26)</f>
        <v>113500</v>
      </c>
    </row>
    <row r="27" spans="1:5" ht="15">
      <c r="A27" s="120" t="s">
        <v>533</v>
      </c>
      <c r="B27" s="123" t="s">
        <v>534</v>
      </c>
      <c r="C27" s="122"/>
      <c r="D27" s="122">
        <v>0</v>
      </c>
      <c r="E27" s="122">
        <v>0</v>
      </c>
    </row>
    <row r="28" spans="1:5" ht="37.5" customHeight="1">
      <c r="A28" s="120" t="s">
        <v>188</v>
      </c>
      <c r="B28" s="123" t="s">
        <v>535</v>
      </c>
      <c r="C28" s="122"/>
      <c r="D28" s="122">
        <f>'[1]7'!G51</f>
        <v>59000</v>
      </c>
      <c r="E28" s="122">
        <f>D28</f>
        <v>59000</v>
      </c>
    </row>
    <row r="29" spans="1:5" ht="15">
      <c r="A29" s="125" t="s">
        <v>189</v>
      </c>
      <c r="B29" s="126" t="s">
        <v>190</v>
      </c>
      <c r="C29" s="127">
        <f>C30+C31+C32</f>
        <v>13010698.46</v>
      </c>
      <c r="D29" s="127">
        <f>D30+D31+D32</f>
        <v>10113494.1</v>
      </c>
      <c r="E29" s="118">
        <f>SUM(C29:D29)</f>
        <v>23124192.560000002</v>
      </c>
    </row>
    <row r="30" spans="1:5" ht="15">
      <c r="A30" s="128" t="s">
        <v>191</v>
      </c>
      <c r="B30" s="129" t="s">
        <v>192</v>
      </c>
      <c r="C30" s="130">
        <v>0</v>
      </c>
      <c r="D30" s="130">
        <f>7!I95</f>
        <v>120000</v>
      </c>
      <c r="E30" s="131">
        <f>C30+D30</f>
        <v>120000</v>
      </c>
    </row>
    <row r="31" spans="1:5" ht="15">
      <c r="A31" s="120" t="s">
        <v>193</v>
      </c>
      <c r="B31" s="123" t="s">
        <v>194</v>
      </c>
      <c r="C31" s="122">
        <f>7!G102</f>
        <v>12994929.46</v>
      </c>
      <c r="D31" s="122">
        <f>7!H102</f>
        <v>9992664.15</v>
      </c>
      <c r="E31" s="122">
        <f aca="true" t="shared" si="1" ref="E31:E37">SUM(C31:D31)</f>
        <v>22987593.61</v>
      </c>
    </row>
    <row r="32" spans="1:5" ht="15">
      <c r="A32" s="120" t="s">
        <v>44</v>
      </c>
      <c r="B32" s="123" t="s">
        <v>47</v>
      </c>
      <c r="C32" s="122">
        <f>7!G158</f>
        <v>15769</v>
      </c>
      <c r="D32" s="122">
        <f>7!H158</f>
        <v>829.95</v>
      </c>
      <c r="E32" s="122">
        <f>7!I158</f>
        <v>16598.95</v>
      </c>
    </row>
    <row r="33" spans="1:7" ht="15">
      <c r="A33" s="117" t="s">
        <v>195</v>
      </c>
      <c r="B33" s="115" t="s">
        <v>196</v>
      </c>
      <c r="C33" s="118">
        <f>SUM(C34+C35+C36+C37)</f>
        <v>26566059</v>
      </c>
      <c r="D33" s="118">
        <f>SUM(D34:D37)</f>
        <v>34256848.69</v>
      </c>
      <c r="E33" s="118">
        <f t="shared" si="1"/>
        <v>60822907.69</v>
      </c>
      <c r="G33" s="119"/>
    </row>
    <row r="34" spans="1:5" ht="15">
      <c r="A34" s="120" t="s">
        <v>197</v>
      </c>
      <c r="B34" s="123" t="s">
        <v>198</v>
      </c>
      <c r="C34" s="122">
        <v>0</v>
      </c>
      <c r="D34" s="122">
        <f>7!H164</f>
        <v>3785600</v>
      </c>
      <c r="E34" s="122">
        <f>C34+D34</f>
        <v>3785600</v>
      </c>
    </row>
    <row r="35" spans="1:5" ht="15">
      <c r="A35" s="120" t="s">
        <v>199</v>
      </c>
      <c r="B35" s="123" t="s">
        <v>200</v>
      </c>
      <c r="C35" s="122">
        <f>7!G185</f>
        <v>300000</v>
      </c>
      <c r="D35" s="122">
        <f>7!H185</f>
        <v>2202518.99</v>
      </c>
      <c r="E35" s="122">
        <f>C35+D35</f>
        <v>2502518.99</v>
      </c>
    </row>
    <row r="36" spans="1:6" ht="15">
      <c r="A36" s="128" t="s">
        <v>201</v>
      </c>
      <c r="B36" s="129" t="s">
        <v>202</v>
      </c>
      <c r="C36" s="130">
        <f>7!G204</f>
        <v>26266059</v>
      </c>
      <c r="D36" s="130">
        <f>7!H204</f>
        <v>18819373.689999998</v>
      </c>
      <c r="E36" s="131">
        <f>SUM(C36:D36)</f>
        <v>45085432.69</v>
      </c>
      <c r="F36" s="132"/>
    </row>
    <row r="37" spans="1:13" ht="15" customHeight="1">
      <c r="A37" s="133" t="s">
        <v>203</v>
      </c>
      <c r="B37" s="129" t="s">
        <v>204</v>
      </c>
      <c r="C37" s="124">
        <v>0</v>
      </c>
      <c r="D37" s="124">
        <f>7!I280</f>
        <v>9449356.01</v>
      </c>
      <c r="E37" s="122">
        <f t="shared" si="1"/>
        <v>9449356.01</v>
      </c>
      <c r="F37" s="214"/>
      <c r="G37" s="134"/>
      <c r="H37" s="134"/>
      <c r="I37" s="134"/>
      <c r="J37" s="134"/>
      <c r="K37" s="134"/>
      <c r="L37" s="134"/>
      <c r="M37" s="134"/>
    </row>
    <row r="38" spans="1:5" ht="15">
      <c r="A38" s="125" t="s">
        <v>205</v>
      </c>
      <c r="B38" s="126" t="s">
        <v>206</v>
      </c>
      <c r="C38" s="127"/>
      <c r="D38" s="127">
        <f>D39+D40</f>
        <v>172000</v>
      </c>
      <c r="E38" s="118">
        <f>SUM(D38)</f>
        <v>172000</v>
      </c>
    </row>
    <row r="39" spans="1:6" s="135" customFormat="1" ht="15">
      <c r="A39" s="128" t="s">
        <v>496</v>
      </c>
      <c r="B39" s="129" t="s">
        <v>495</v>
      </c>
      <c r="C39" s="130"/>
      <c r="D39" s="130">
        <f>7!H306</f>
        <v>72000</v>
      </c>
      <c r="E39" s="131">
        <f>7!I306</f>
        <v>72000</v>
      </c>
      <c r="F39" s="215"/>
    </row>
    <row r="40" spans="1:5" ht="15">
      <c r="A40" s="120" t="s">
        <v>207</v>
      </c>
      <c r="B40" s="121" t="s">
        <v>536</v>
      </c>
      <c r="C40" s="124"/>
      <c r="D40" s="124">
        <f>7!H317</f>
        <v>100000</v>
      </c>
      <c r="E40" s="122">
        <f>7!I317</f>
        <v>100000</v>
      </c>
    </row>
    <row r="41" spans="1:5" ht="15" customHeight="1">
      <c r="A41" s="117" t="s">
        <v>208</v>
      </c>
      <c r="B41" s="115" t="s">
        <v>537</v>
      </c>
      <c r="C41" s="118">
        <f>SUM(C42)</f>
        <v>0</v>
      </c>
      <c r="D41" s="118">
        <f>SUM(D42)</f>
        <v>1795575</v>
      </c>
      <c r="E41" s="136">
        <f>SUM(C41:D41)</f>
        <v>1795575</v>
      </c>
    </row>
    <row r="42" spans="1:5" ht="15">
      <c r="A42" s="133" t="s">
        <v>209</v>
      </c>
      <c r="B42" s="121" t="s">
        <v>210</v>
      </c>
      <c r="C42" s="124">
        <v>0</v>
      </c>
      <c r="D42" s="124">
        <f>7!H323</f>
        <v>1795575</v>
      </c>
      <c r="E42" s="122">
        <f>SUM(C42:D42)</f>
        <v>1795575</v>
      </c>
    </row>
    <row r="43" spans="1:5" ht="15">
      <c r="A43" s="125" t="s">
        <v>211</v>
      </c>
      <c r="B43" s="126" t="s">
        <v>212</v>
      </c>
      <c r="C43" s="127">
        <f>SUM(C44:C45)</f>
        <v>1324616</v>
      </c>
      <c r="D43" s="127">
        <f>SUM(D44:D45)</f>
        <v>1320800</v>
      </c>
      <c r="E43" s="118">
        <f>SUM(C43:D43)</f>
        <v>2645416</v>
      </c>
    </row>
    <row r="44" spans="1:5" ht="15">
      <c r="A44" s="120" t="s">
        <v>213</v>
      </c>
      <c r="B44" s="121" t="s">
        <v>214</v>
      </c>
      <c r="C44" s="124"/>
      <c r="D44" s="124">
        <f>7!H335</f>
        <v>200000</v>
      </c>
      <c r="E44" s="122">
        <f>SUM(D44)</f>
        <v>200000</v>
      </c>
    </row>
    <row r="45" spans="1:5" ht="15">
      <c r="A45" s="120" t="s">
        <v>215</v>
      </c>
      <c r="B45" s="123" t="s">
        <v>216</v>
      </c>
      <c r="C45" s="122">
        <f>7!G338</f>
        <v>1324616</v>
      </c>
      <c r="D45" s="122">
        <f>7!H338</f>
        <v>1120800</v>
      </c>
      <c r="E45" s="122">
        <f>SUM(C45+D45)</f>
        <v>2445416</v>
      </c>
    </row>
    <row r="46" spans="1:5" ht="15">
      <c r="A46" s="125" t="s">
        <v>217</v>
      </c>
      <c r="B46" s="126" t="s">
        <v>218</v>
      </c>
      <c r="C46" s="127"/>
      <c r="D46" s="127">
        <f>SUM(D47)</f>
        <v>300000</v>
      </c>
      <c r="E46" s="136">
        <f>SUM(C46:D46)</f>
        <v>300000</v>
      </c>
    </row>
    <row r="47" spans="1:5" ht="18">
      <c r="A47" s="133" t="s">
        <v>490</v>
      </c>
      <c r="B47" s="137" t="s">
        <v>491</v>
      </c>
      <c r="C47" s="124"/>
      <c r="D47" s="124">
        <f>7!H356</f>
        <v>300000</v>
      </c>
      <c r="E47" s="122">
        <f>SUM(D47)</f>
        <v>300000</v>
      </c>
    </row>
    <row r="48" spans="1:5" ht="15">
      <c r="A48" s="133" t="s">
        <v>473</v>
      </c>
      <c r="B48" s="121" t="s">
        <v>492</v>
      </c>
      <c r="C48" s="124"/>
      <c r="D48" s="124">
        <f>7!H363</f>
        <v>40000</v>
      </c>
      <c r="E48" s="122">
        <f>D48</f>
        <v>40000</v>
      </c>
    </row>
    <row r="49" spans="1:7" ht="15">
      <c r="A49" s="138"/>
      <c r="B49" s="139" t="s">
        <v>219</v>
      </c>
      <c r="C49" s="140">
        <f>C15+C23+C29+C33+C38+C41+C43+C46</f>
        <v>41389197.46</v>
      </c>
      <c r="D49" s="140">
        <f>D15+D23+D25+D29+D33+D38+D41+D43+D46+D48</f>
        <v>59143963.559999995</v>
      </c>
      <c r="E49" s="140">
        <f>E15+E23+E25+E29+E33+E38+E41+E43+E46+E48</f>
        <v>100533161.02</v>
      </c>
      <c r="G49" s="119"/>
    </row>
    <row r="50" spans="1:7" ht="15">
      <c r="A50" s="115"/>
      <c r="B50" s="115" t="s">
        <v>475</v>
      </c>
      <c r="C50" s="141"/>
      <c r="D50" s="118"/>
      <c r="E50" s="118">
        <f>9!D18</f>
        <v>-1090374.549999997</v>
      </c>
      <c r="G50" s="119"/>
    </row>
    <row r="51" spans="3:5" ht="15">
      <c r="C51" s="276"/>
      <c r="D51" s="276"/>
      <c r="E51" s="119"/>
    </row>
    <row r="52" spans="4:5" ht="15">
      <c r="D52" s="142"/>
      <c r="E52" s="119"/>
    </row>
    <row r="54" ht="15">
      <c r="E54" s="119"/>
    </row>
    <row r="55" ht="15">
      <c r="E55" s="119"/>
    </row>
    <row r="56" ht="15">
      <c r="E56" s="119"/>
    </row>
  </sheetData>
  <sheetProtection/>
  <mergeCells count="16">
    <mergeCell ref="D11:D14"/>
    <mergeCell ref="C51:D51"/>
    <mergeCell ref="A15:A16"/>
    <mergeCell ref="B15:B16"/>
    <mergeCell ref="C15:C16"/>
    <mergeCell ref="D15:D16"/>
    <mergeCell ref="E11:E14"/>
    <mergeCell ref="E15:E16"/>
    <mergeCell ref="F17:F18"/>
    <mergeCell ref="C1:E5"/>
    <mergeCell ref="A6:E6"/>
    <mergeCell ref="A7:E7"/>
    <mergeCell ref="A10:A14"/>
    <mergeCell ref="B10:B14"/>
    <mergeCell ref="C10:E10"/>
    <mergeCell ref="C11:C1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7" r:id="rId1"/>
  <rowBreaks count="1" manualBreakCount="1">
    <brk id="5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G195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113.57421875" style="2" customWidth="1"/>
    <col min="2" max="2" width="11.00390625" style="3" customWidth="1"/>
    <col min="3" max="3" width="7.421875" style="2" customWidth="1"/>
    <col min="4" max="4" width="6.00390625" style="2" hidden="1" customWidth="1"/>
    <col min="5" max="5" width="13.28125" style="1" bestFit="1" customWidth="1"/>
    <col min="6" max="6" width="74.00390625" style="71" customWidth="1"/>
    <col min="7" max="7" width="14.421875" style="2" bestFit="1" customWidth="1"/>
    <col min="8" max="16384" width="9.140625" style="2" customWidth="1"/>
  </cols>
  <sheetData>
    <row r="2" spans="1:5" ht="12.75">
      <c r="A2" s="278" t="s">
        <v>93</v>
      </c>
      <c r="B2" s="278"/>
      <c r="C2" s="278"/>
      <c r="D2" s="278"/>
      <c r="E2" s="278"/>
    </row>
    <row r="4" spans="1:5" ht="22.5" customHeight="1">
      <c r="A4" s="279" t="s">
        <v>36</v>
      </c>
      <c r="B4" s="279"/>
      <c r="C4" s="279"/>
      <c r="D4" s="279"/>
      <c r="E4" s="279"/>
    </row>
    <row r="5" spans="1:5" ht="20.25">
      <c r="A5" s="4" t="s">
        <v>220</v>
      </c>
      <c r="B5" s="5" t="s">
        <v>221</v>
      </c>
      <c r="C5" s="5" t="s">
        <v>222</v>
      </c>
      <c r="D5" s="6"/>
      <c r="E5" s="143">
        <v>2022</v>
      </c>
    </row>
    <row r="6" spans="1:5" ht="12.75">
      <c r="A6" s="8">
        <v>1</v>
      </c>
      <c r="B6" s="9">
        <v>2</v>
      </c>
      <c r="C6" s="8">
        <v>3</v>
      </c>
      <c r="D6" s="6"/>
      <c r="E6" s="10" t="s">
        <v>474</v>
      </c>
    </row>
    <row r="7" spans="1:163" s="16" customFormat="1" ht="12.75">
      <c r="A7" s="11" t="s">
        <v>223</v>
      </c>
      <c r="B7" s="12" t="s">
        <v>224</v>
      </c>
      <c r="C7" s="13" t="s">
        <v>225</v>
      </c>
      <c r="D7" s="14"/>
      <c r="E7" s="15">
        <f>E8</f>
        <v>100000</v>
      </c>
      <c r="F7" s="7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</row>
    <row r="8" spans="1:163" s="22" customFormat="1" ht="12.75">
      <c r="A8" s="17" t="s">
        <v>11</v>
      </c>
      <c r="B8" s="18" t="s">
        <v>226</v>
      </c>
      <c r="C8" s="19" t="s">
        <v>225</v>
      </c>
      <c r="D8" s="20"/>
      <c r="E8" s="21">
        <f>E9</f>
        <v>100000</v>
      </c>
      <c r="F8" s="7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</row>
    <row r="9" spans="1:163" s="28" customFormat="1" ht="12.75">
      <c r="A9" s="23" t="s">
        <v>227</v>
      </c>
      <c r="B9" s="24" t="s">
        <v>228</v>
      </c>
      <c r="C9" s="25"/>
      <c r="D9" s="26"/>
      <c r="E9" s="27">
        <f>E10</f>
        <v>100000</v>
      </c>
      <c r="F9" s="7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</row>
    <row r="10" spans="1:5" ht="12.75">
      <c r="A10" s="9" t="s">
        <v>229</v>
      </c>
      <c r="B10" s="29" t="s">
        <v>230</v>
      </c>
      <c r="C10" s="30"/>
      <c r="D10" s="6"/>
      <c r="E10" s="7">
        <f>E11</f>
        <v>100000</v>
      </c>
    </row>
    <row r="11" spans="1:5" ht="12.75">
      <c r="A11" s="9" t="s">
        <v>231</v>
      </c>
      <c r="B11" s="29"/>
      <c r="C11" s="30">
        <v>200</v>
      </c>
      <c r="D11" s="6"/>
      <c r="E11" s="7">
        <f>7!I319</f>
        <v>100000</v>
      </c>
    </row>
    <row r="12" spans="1:163" s="16" customFormat="1" ht="12.75">
      <c r="A12" s="11" t="s">
        <v>232</v>
      </c>
      <c r="B12" s="31" t="s">
        <v>233</v>
      </c>
      <c r="C12" s="13" t="s">
        <v>225</v>
      </c>
      <c r="D12" s="32"/>
      <c r="E12" s="15">
        <f>E13</f>
        <v>510000</v>
      </c>
      <c r="F12" s="7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</row>
    <row r="13" spans="1:163" s="22" customFormat="1" ht="12.75">
      <c r="A13" s="17" t="s">
        <v>12</v>
      </c>
      <c r="B13" s="33" t="s">
        <v>234</v>
      </c>
      <c r="C13" s="19" t="s">
        <v>225</v>
      </c>
      <c r="D13" s="20"/>
      <c r="E13" s="21">
        <f>E14+E19</f>
        <v>510000</v>
      </c>
      <c r="F13" s="7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</row>
    <row r="14" spans="1:163" s="28" customFormat="1" ht="12.75">
      <c r="A14" s="34" t="s">
        <v>235</v>
      </c>
      <c r="B14" s="35" t="s">
        <v>236</v>
      </c>
      <c r="C14" s="25"/>
      <c r="D14" s="26"/>
      <c r="E14" s="27">
        <f>E15+E17</f>
        <v>280000</v>
      </c>
      <c r="F14" s="7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</row>
    <row r="15" spans="1:5" ht="12.75">
      <c r="A15" s="9" t="s">
        <v>237</v>
      </c>
      <c r="B15" s="29" t="s">
        <v>238</v>
      </c>
      <c r="C15" s="30" t="s">
        <v>225</v>
      </c>
      <c r="D15" s="6"/>
      <c r="E15" s="7">
        <f>E16</f>
        <v>280000</v>
      </c>
    </row>
    <row r="16" spans="1:5" ht="12.75">
      <c r="A16" s="9" t="s">
        <v>231</v>
      </c>
      <c r="B16" s="29"/>
      <c r="C16" s="30">
        <v>200</v>
      </c>
      <c r="D16" s="6"/>
      <c r="E16" s="86">
        <f>7!I352</f>
        <v>280000</v>
      </c>
    </row>
    <row r="17" spans="1:5" ht="12.75">
      <c r="A17" s="9" t="s">
        <v>444</v>
      </c>
      <c r="B17" s="29" t="s">
        <v>456</v>
      </c>
      <c r="C17" s="30"/>
      <c r="D17" s="6"/>
      <c r="E17" s="86">
        <f>E18</f>
        <v>0</v>
      </c>
    </row>
    <row r="18" spans="1:5" ht="12.75">
      <c r="A18" s="9" t="s">
        <v>231</v>
      </c>
      <c r="B18" s="29"/>
      <c r="C18" s="30">
        <v>200</v>
      </c>
      <c r="D18" s="6"/>
      <c r="E18" s="7">
        <v>0</v>
      </c>
    </row>
    <row r="19" spans="1:163" s="38" customFormat="1" ht="12.75">
      <c r="A19" s="23" t="s">
        <v>239</v>
      </c>
      <c r="B19" s="35" t="s">
        <v>240</v>
      </c>
      <c r="C19" s="25"/>
      <c r="D19" s="36"/>
      <c r="E19" s="27">
        <f>E20+E22</f>
        <v>230000</v>
      </c>
      <c r="F19" s="72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</row>
    <row r="20" spans="1:5" ht="12.75">
      <c r="A20" s="9" t="s">
        <v>241</v>
      </c>
      <c r="B20" s="29" t="s">
        <v>242</v>
      </c>
      <c r="C20" s="30" t="s">
        <v>225</v>
      </c>
      <c r="D20" s="6"/>
      <c r="E20" s="7">
        <f>E21</f>
        <v>30000</v>
      </c>
    </row>
    <row r="21" spans="1:5" ht="12.75">
      <c r="A21" s="9" t="s">
        <v>243</v>
      </c>
      <c r="B21" s="29"/>
      <c r="C21" s="30">
        <v>300</v>
      </c>
      <c r="D21" s="6"/>
      <c r="E21" s="7">
        <f>7!I354</f>
        <v>30000</v>
      </c>
    </row>
    <row r="22" spans="1:5" ht="12.75">
      <c r="A22" s="9" t="s">
        <v>244</v>
      </c>
      <c r="B22" s="29" t="s">
        <v>245</v>
      </c>
      <c r="C22" s="30" t="s">
        <v>225</v>
      </c>
      <c r="D22" s="6"/>
      <c r="E22" s="7">
        <f>7!I336</f>
        <v>200000</v>
      </c>
    </row>
    <row r="23" spans="1:5" ht="12.75">
      <c r="A23" s="9" t="s">
        <v>243</v>
      </c>
      <c r="B23" s="29"/>
      <c r="C23" s="30">
        <v>300</v>
      </c>
      <c r="D23" s="6"/>
      <c r="E23" s="7">
        <f>7!I337</f>
        <v>200000</v>
      </c>
    </row>
    <row r="24" spans="1:163" s="16" customFormat="1" ht="12.75">
      <c r="A24" s="11" t="s">
        <v>246</v>
      </c>
      <c r="B24" s="39" t="s">
        <v>247</v>
      </c>
      <c r="C24" s="13"/>
      <c r="D24" s="40"/>
      <c r="E24" s="15">
        <f>E25+E29+E35</f>
        <v>2135416</v>
      </c>
      <c r="F24" s="7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</row>
    <row r="25" spans="1:163" s="22" customFormat="1" ht="12.75">
      <c r="A25" s="17" t="s">
        <v>13</v>
      </c>
      <c r="B25" s="41" t="s">
        <v>248</v>
      </c>
      <c r="C25" s="42"/>
      <c r="D25" s="20"/>
      <c r="E25" s="21">
        <f>E26</f>
        <v>2033416</v>
      </c>
      <c r="F25" s="7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</row>
    <row r="26" spans="1:163" s="28" customFormat="1" ht="12.75">
      <c r="A26" s="23" t="s">
        <v>249</v>
      </c>
      <c r="B26" s="35" t="s">
        <v>250</v>
      </c>
      <c r="C26" s="43"/>
      <c r="D26" s="26"/>
      <c r="E26" s="27">
        <f>E27</f>
        <v>2033416</v>
      </c>
      <c r="F26" s="7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</row>
    <row r="27" spans="1:5" ht="26.25">
      <c r="A27" s="9" t="s">
        <v>31</v>
      </c>
      <c r="B27" s="29" t="s">
        <v>251</v>
      </c>
      <c r="C27" s="30"/>
      <c r="D27" s="6" t="s">
        <v>252</v>
      </c>
      <c r="E27" s="7">
        <f>E28</f>
        <v>2033416</v>
      </c>
    </row>
    <row r="28" spans="1:5" ht="12.75">
      <c r="A28" s="9" t="s">
        <v>243</v>
      </c>
      <c r="B28" s="29"/>
      <c r="C28" s="30">
        <v>300</v>
      </c>
      <c r="D28" s="6"/>
      <c r="E28" s="7">
        <f>7!I344</f>
        <v>2033416</v>
      </c>
    </row>
    <row r="29" spans="1:5" ht="12.75">
      <c r="A29" s="17" t="s">
        <v>14</v>
      </c>
      <c r="B29" s="41" t="s">
        <v>253</v>
      </c>
      <c r="C29" s="42"/>
      <c r="D29" s="20"/>
      <c r="E29" s="21">
        <f>E30</f>
        <v>102000</v>
      </c>
    </row>
    <row r="30" spans="1:5" ht="12.75">
      <c r="A30" s="9" t="s">
        <v>254</v>
      </c>
      <c r="B30" s="29" t="s">
        <v>255</v>
      </c>
      <c r="C30" s="30"/>
      <c r="D30" s="6"/>
      <c r="E30" s="7">
        <f>E31+E33</f>
        <v>102000</v>
      </c>
    </row>
    <row r="31" spans="1:5" ht="12.75">
      <c r="A31" s="9" t="s">
        <v>15</v>
      </c>
      <c r="B31" s="29" t="s">
        <v>256</v>
      </c>
      <c r="C31" s="30"/>
      <c r="D31" s="6"/>
      <c r="E31" s="7">
        <f>E32</f>
        <v>40800</v>
      </c>
    </row>
    <row r="32" spans="1:5" ht="12.75">
      <c r="A32" s="9" t="s">
        <v>243</v>
      </c>
      <c r="B32" s="29"/>
      <c r="C32" s="82">
        <v>300</v>
      </c>
      <c r="D32" s="6"/>
      <c r="E32" s="7">
        <f>7!H348</f>
        <v>40800</v>
      </c>
    </row>
    <row r="33" spans="1:5" ht="12.75">
      <c r="A33" s="9" t="s">
        <v>257</v>
      </c>
      <c r="B33" s="29" t="s">
        <v>258</v>
      </c>
      <c r="C33" s="82"/>
      <c r="D33" s="6"/>
      <c r="E33" s="7">
        <f>E34</f>
        <v>61200</v>
      </c>
    </row>
    <row r="34" spans="1:5" ht="12.75">
      <c r="A34" s="9" t="s">
        <v>243</v>
      </c>
      <c r="B34" s="29"/>
      <c r="C34" s="82">
        <v>300</v>
      </c>
      <c r="D34" s="6"/>
      <c r="E34" s="7">
        <f>7!G350</f>
        <v>61200</v>
      </c>
    </row>
    <row r="35" spans="1:5" ht="12.75">
      <c r="A35" s="17" t="s">
        <v>16</v>
      </c>
      <c r="B35" s="41" t="s">
        <v>259</v>
      </c>
      <c r="C35" s="42"/>
      <c r="D35" s="20"/>
      <c r="E35" s="21">
        <f>E36</f>
        <v>0</v>
      </c>
    </row>
    <row r="36" spans="1:5" ht="12.75">
      <c r="A36" s="9" t="s">
        <v>260</v>
      </c>
      <c r="B36" s="29" t="s">
        <v>261</v>
      </c>
      <c r="C36" s="30"/>
      <c r="D36" s="6"/>
      <c r="E36" s="7">
        <f>E37+E39+E41</f>
        <v>0</v>
      </c>
    </row>
    <row r="37" spans="1:5" ht="30">
      <c r="A37" s="9" t="s">
        <v>418</v>
      </c>
      <c r="B37" s="29" t="s">
        <v>417</v>
      </c>
      <c r="C37" s="30"/>
      <c r="D37" s="6"/>
      <c r="E37" s="7">
        <f>E38</f>
        <v>0</v>
      </c>
    </row>
    <row r="38" spans="1:5" ht="12.75">
      <c r="A38" s="9" t="s">
        <v>264</v>
      </c>
      <c r="B38" s="29"/>
      <c r="C38" s="30">
        <v>400</v>
      </c>
      <c r="D38" s="6"/>
      <c r="E38" s="7">
        <v>0</v>
      </c>
    </row>
    <row r="39" spans="1:5" ht="20.25">
      <c r="A39" s="9" t="s">
        <v>422</v>
      </c>
      <c r="B39" s="29" t="s">
        <v>421</v>
      </c>
      <c r="C39" s="30"/>
      <c r="D39" s="6"/>
      <c r="E39" s="7">
        <f>E40</f>
        <v>0</v>
      </c>
    </row>
    <row r="40" spans="1:5" ht="12.75">
      <c r="A40" s="9" t="s">
        <v>264</v>
      </c>
      <c r="B40" s="29"/>
      <c r="C40" s="30">
        <v>400</v>
      </c>
      <c r="D40" s="6"/>
      <c r="E40" s="7">
        <v>0</v>
      </c>
    </row>
    <row r="41" spans="1:6" ht="20.25">
      <c r="A41" s="9" t="s">
        <v>262</v>
      </c>
      <c r="B41" s="29" t="s">
        <v>263</v>
      </c>
      <c r="C41" s="30"/>
      <c r="D41" s="6"/>
      <c r="E41" s="7">
        <f>E42</f>
        <v>0</v>
      </c>
      <c r="F41" s="73"/>
    </row>
    <row r="42" spans="1:6" ht="12.75">
      <c r="A42" s="9" t="s">
        <v>264</v>
      </c>
      <c r="B42" s="29"/>
      <c r="C42" s="30">
        <v>400</v>
      </c>
      <c r="D42" s="6"/>
      <c r="E42" s="7">
        <v>0</v>
      </c>
      <c r="F42" s="73"/>
    </row>
    <row r="43" spans="1:163" s="16" customFormat="1" ht="12.75">
      <c r="A43" s="11" t="s">
        <v>265</v>
      </c>
      <c r="B43" s="39" t="s">
        <v>266</v>
      </c>
      <c r="C43" s="13" t="s">
        <v>225</v>
      </c>
      <c r="D43" s="40"/>
      <c r="E43" s="15">
        <f>E44</f>
        <v>1795575</v>
      </c>
      <c r="F43" s="7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</row>
    <row r="44" spans="1:6" ht="12.75">
      <c r="A44" s="17" t="s">
        <v>17</v>
      </c>
      <c r="B44" s="41" t="s">
        <v>267</v>
      </c>
      <c r="C44" s="19" t="s">
        <v>225</v>
      </c>
      <c r="D44" s="20"/>
      <c r="E44" s="21">
        <f>E45+E54</f>
        <v>1795575</v>
      </c>
      <c r="F44" s="74"/>
    </row>
    <row r="45" spans="1:163" s="28" customFormat="1" ht="20.25">
      <c r="A45" s="23" t="s">
        <v>268</v>
      </c>
      <c r="B45" s="35" t="s">
        <v>269</v>
      </c>
      <c r="C45" s="25"/>
      <c r="D45" s="26"/>
      <c r="E45" s="27">
        <f>E46+E52</f>
        <v>1795575</v>
      </c>
      <c r="F45" s="7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</row>
    <row r="46" spans="1:5" ht="12.75">
      <c r="A46" s="9" t="s">
        <v>270</v>
      </c>
      <c r="B46" s="29" t="s">
        <v>271</v>
      </c>
      <c r="C46" s="30" t="s">
        <v>225</v>
      </c>
      <c r="D46" s="6"/>
      <c r="E46" s="7">
        <f>E47+E48+E49+E50+E51</f>
        <v>1795575</v>
      </c>
    </row>
    <row r="47" spans="1:5" ht="20.25" hidden="1">
      <c r="A47" s="9" t="s">
        <v>272</v>
      </c>
      <c r="B47" s="29"/>
      <c r="C47" s="30">
        <v>100</v>
      </c>
      <c r="D47" s="6"/>
      <c r="E47" s="7"/>
    </row>
    <row r="48" spans="1:5" ht="12.75" hidden="1">
      <c r="A48" s="9" t="s">
        <v>231</v>
      </c>
      <c r="B48" s="29"/>
      <c r="C48" s="30">
        <v>200</v>
      </c>
      <c r="D48" s="6"/>
      <c r="E48" s="7"/>
    </row>
    <row r="49" spans="1:5" ht="12.75" hidden="1">
      <c r="A49" s="9" t="s">
        <v>243</v>
      </c>
      <c r="B49" s="29"/>
      <c r="C49" s="30">
        <v>300</v>
      </c>
      <c r="D49" s="6"/>
      <c r="E49" s="7"/>
    </row>
    <row r="50" spans="1:5" ht="12.75">
      <c r="A50" s="9" t="s">
        <v>273</v>
      </c>
      <c r="B50" s="29"/>
      <c r="C50" s="30">
        <v>500</v>
      </c>
      <c r="D50" s="6"/>
      <c r="E50" s="7">
        <f>7!I324</f>
        <v>1795575</v>
      </c>
    </row>
    <row r="51" spans="1:5" ht="12.75" hidden="1">
      <c r="A51" s="9" t="s">
        <v>274</v>
      </c>
      <c r="B51" s="29"/>
      <c r="C51" s="30">
        <v>800</v>
      </c>
      <c r="D51" s="6"/>
      <c r="E51" s="7">
        <v>0</v>
      </c>
    </row>
    <row r="52" spans="1:6" ht="12.75" hidden="1">
      <c r="A52" s="9" t="s">
        <v>275</v>
      </c>
      <c r="B52" s="29" t="s">
        <v>276</v>
      </c>
      <c r="C52" s="30"/>
      <c r="D52" s="6"/>
      <c r="E52" s="7">
        <f>E53</f>
        <v>0</v>
      </c>
      <c r="F52" s="75"/>
    </row>
    <row r="53" spans="1:5" ht="12.75" hidden="1">
      <c r="A53" s="9" t="s">
        <v>231</v>
      </c>
      <c r="B53" s="29"/>
      <c r="C53" s="30">
        <v>200</v>
      </c>
      <c r="D53" s="6"/>
      <c r="E53" s="7"/>
    </row>
    <row r="54" spans="1:163" s="28" customFormat="1" ht="20.25" hidden="1">
      <c r="A54" s="23" t="s">
        <v>277</v>
      </c>
      <c r="B54" s="35" t="s">
        <v>278</v>
      </c>
      <c r="C54" s="43"/>
      <c r="D54" s="26"/>
      <c r="E54" s="27">
        <f>E55</f>
        <v>0</v>
      </c>
      <c r="F54" s="7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</row>
    <row r="55" spans="1:5" ht="12.75" hidden="1">
      <c r="A55" s="9" t="s">
        <v>279</v>
      </c>
      <c r="B55" s="29" t="s">
        <v>280</v>
      </c>
      <c r="C55" s="30"/>
      <c r="D55" s="6"/>
      <c r="E55" s="7">
        <f>E56</f>
        <v>0</v>
      </c>
    </row>
    <row r="56" spans="1:5" ht="12.75" hidden="1">
      <c r="A56" s="9" t="s">
        <v>231</v>
      </c>
      <c r="B56" s="45"/>
      <c r="C56" s="30">
        <v>200</v>
      </c>
      <c r="D56" s="6"/>
      <c r="E56" s="7"/>
    </row>
    <row r="57" spans="1:163" s="16" customFormat="1" ht="12.75" hidden="1">
      <c r="A57" s="11" t="s">
        <v>281</v>
      </c>
      <c r="B57" s="46" t="s">
        <v>282</v>
      </c>
      <c r="C57" s="47" t="s">
        <v>225</v>
      </c>
      <c r="D57" s="6"/>
      <c r="E57" s="7"/>
      <c r="F57" s="7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</row>
    <row r="58" spans="1:5" ht="12.75" hidden="1">
      <c r="A58" s="17" t="s">
        <v>283</v>
      </c>
      <c r="B58" s="29" t="s">
        <v>284</v>
      </c>
      <c r="C58" s="48" t="s">
        <v>225</v>
      </c>
      <c r="D58" s="6"/>
      <c r="E58" s="7"/>
    </row>
    <row r="59" spans="1:163" s="28" customFormat="1" ht="12.75" hidden="1">
      <c r="A59" s="23" t="s">
        <v>285</v>
      </c>
      <c r="B59" s="29" t="s">
        <v>286</v>
      </c>
      <c r="C59" s="48"/>
      <c r="D59" s="6"/>
      <c r="E59" s="7"/>
      <c r="F59" s="7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</row>
    <row r="60" spans="1:5" ht="12.75" hidden="1">
      <c r="A60" s="9" t="s">
        <v>287</v>
      </c>
      <c r="B60" s="29" t="s">
        <v>288</v>
      </c>
      <c r="C60" s="30" t="s">
        <v>225</v>
      </c>
      <c r="D60" s="6"/>
      <c r="E60" s="7"/>
    </row>
    <row r="61" spans="1:5" ht="12.75" hidden="1">
      <c r="A61" s="9" t="s">
        <v>231</v>
      </c>
      <c r="B61" s="29"/>
      <c r="C61" s="30">
        <v>200</v>
      </c>
      <c r="D61" s="6"/>
      <c r="E61" s="7"/>
    </row>
    <row r="62" spans="1:163" s="16" customFormat="1" ht="12.75">
      <c r="A62" s="11" t="s">
        <v>289</v>
      </c>
      <c r="B62" s="39" t="s">
        <v>290</v>
      </c>
      <c r="C62" s="13"/>
      <c r="D62" s="40"/>
      <c r="E62" s="15">
        <f>E63</f>
        <v>300000</v>
      </c>
      <c r="F62" s="7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</row>
    <row r="63" spans="1:5" ht="12.75">
      <c r="A63" s="17" t="s">
        <v>18</v>
      </c>
      <c r="B63" s="41" t="s">
        <v>291</v>
      </c>
      <c r="C63" s="19" t="s">
        <v>225</v>
      </c>
      <c r="D63" s="20"/>
      <c r="E63" s="21">
        <f>E64</f>
        <v>300000</v>
      </c>
    </row>
    <row r="64" spans="1:163" s="28" customFormat="1" ht="12.75">
      <c r="A64" s="23" t="s">
        <v>292</v>
      </c>
      <c r="B64" s="35" t="s">
        <v>293</v>
      </c>
      <c r="C64" s="43"/>
      <c r="D64" s="26"/>
      <c r="E64" s="27">
        <f>E65</f>
        <v>300000</v>
      </c>
      <c r="F64" s="7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</row>
    <row r="65" spans="1:5" ht="12.75">
      <c r="A65" s="9" t="s">
        <v>294</v>
      </c>
      <c r="B65" s="29" t="s">
        <v>295</v>
      </c>
      <c r="C65" s="30"/>
      <c r="D65" s="6"/>
      <c r="E65" s="7">
        <f>E66</f>
        <v>300000</v>
      </c>
    </row>
    <row r="66" spans="1:5" ht="12.75">
      <c r="A66" s="9" t="s">
        <v>231</v>
      </c>
      <c r="B66" s="29"/>
      <c r="C66" s="30">
        <v>200</v>
      </c>
      <c r="D66" s="6"/>
      <c r="E66" s="7">
        <f>7!I357</f>
        <v>300000</v>
      </c>
    </row>
    <row r="67" spans="1:163" s="16" customFormat="1" ht="12.75">
      <c r="A67" s="11" t="s">
        <v>296</v>
      </c>
      <c r="B67" s="39" t="s">
        <v>297</v>
      </c>
      <c r="C67" s="13" t="s">
        <v>225</v>
      </c>
      <c r="D67" s="40"/>
      <c r="E67" s="15">
        <f>E68+E76+E83</f>
        <v>33432872.689999998</v>
      </c>
      <c r="F67" s="7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</row>
    <row r="68" spans="1:5" ht="12.75">
      <c r="A68" s="17" t="s">
        <v>19</v>
      </c>
      <c r="B68" s="41" t="s">
        <v>298</v>
      </c>
      <c r="C68" s="19" t="s">
        <v>225</v>
      </c>
      <c r="D68" s="20"/>
      <c r="E68" s="21">
        <f>E69+E73</f>
        <v>5988118.99</v>
      </c>
    </row>
    <row r="69" spans="1:163" s="28" customFormat="1" ht="12.75">
      <c r="A69" s="23" t="s">
        <v>299</v>
      </c>
      <c r="B69" s="35" t="s">
        <v>300</v>
      </c>
      <c r="C69" s="43"/>
      <c r="D69" s="26"/>
      <c r="E69" s="27">
        <f>E70</f>
        <v>4424718.99</v>
      </c>
      <c r="F69" s="7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</row>
    <row r="70" spans="1:6" ht="12.75">
      <c r="A70" s="9" t="s">
        <v>301</v>
      </c>
      <c r="B70" s="29" t="s">
        <v>302</v>
      </c>
      <c r="C70" s="30"/>
      <c r="D70" s="6"/>
      <c r="E70" s="7">
        <f>E71+E72</f>
        <v>4424718.99</v>
      </c>
      <c r="F70" s="75"/>
    </row>
    <row r="71" spans="1:6" ht="12.75">
      <c r="A71" s="9" t="s">
        <v>231</v>
      </c>
      <c r="B71" s="29"/>
      <c r="C71" s="30">
        <v>200</v>
      </c>
      <c r="D71" s="6"/>
      <c r="E71" s="7">
        <f>7!I174+7!I187</f>
        <v>4282718.99</v>
      </c>
      <c r="F71" s="73"/>
    </row>
    <row r="72" spans="1:6" s="71" customFormat="1" ht="12.75">
      <c r="A72" s="83" t="s">
        <v>274</v>
      </c>
      <c r="B72" s="84"/>
      <c r="C72" s="82">
        <v>800</v>
      </c>
      <c r="D72" s="85"/>
      <c r="E72" s="86">
        <f>7!I178+7!I196</f>
        <v>142000</v>
      </c>
      <c r="F72" s="73"/>
    </row>
    <row r="73" spans="1:163" s="28" customFormat="1" ht="12.75">
      <c r="A73" s="23" t="s">
        <v>303</v>
      </c>
      <c r="B73" s="35" t="s">
        <v>304</v>
      </c>
      <c r="C73" s="43"/>
      <c r="D73" s="26"/>
      <c r="E73" s="27">
        <f>E74</f>
        <v>1563400</v>
      </c>
      <c r="F73" s="7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</row>
    <row r="74" spans="1:5" ht="12.75">
      <c r="A74" s="9" t="s">
        <v>305</v>
      </c>
      <c r="B74" s="29" t="s">
        <v>306</v>
      </c>
      <c r="C74" s="30"/>
      <c r="D74" s="6"/>
      <c r="E74" s="7">
        <f>E75</f>
        <v>1563400</v>
      </c>
    </row>
    <row r="75" spans="1:5" ht="12.75">
      <c r="A75" s="9" t="s">
        <v>231</v>
      </c>
      <c r="B75" s="29"/>
      <c r="C75" s="30">
        <v>200</v>
      </c>
      <c r="D75" s="6"/>
      <c r="E75" s="7">
        <f>7!I182</f>
        <v>1563400</v>
      </c>
    </row>
    <row r="76" spans="1:5" ht="12.75">
      <c r="A76" s="17" t="s">
        <v>20</v>
      </c>
      <c r="B76" s="41" t="s">
        <v>307</v>
      </c>
      <c r="C76" s="19" t="s">
        <v>225</v>
      </c>
      <c r="D76" s="20"/>
      <c r="E76" s="21">
        <f>E77</f>
        <v>420000</v>
      </c>
    </row>
    <row r="77" spans="1:163" s="28" customFormat="1" ht="12.75">
      <c r="A77" s="34" t="s">
        <v>308</v>
      </c>
      <c r="B77" s="35" t="s">
        <v>309</v>
      </c>
      <c r="C77" s="25"/>
      <c r="D77" s="26"/>
      <c r="E77" s="27">
        <f>E78+E80</f>
        <v>420000</v>
      </c>
      <c r="F77" s="7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</row>
    <row r="78" spans="1:5" ht="12.75">
      <c r="A78" s="9" t="s">
        <v>310</v>
      </c>
      <c r="B78" s="29" t="s">
        <v>311</v>
      </c>
      <c r="C78" s="30" t="s">
        <v>225</v>
      </c>
      <c r="D78" s="6"/>
      <c r="E78" s="7">
        <f>E79</f>
        <v>120000</v>
      </c>
    </row>
    <row r="79" spans="1:5" ht="12.75">
      <c r="A79" s="9" t="s">
        <v>231</v>
      </c>
      <c r="B79" s="29"/>
      <c r="C79" s="30">
        <v>200</v>
      </c>
      <c r="D79" s="6"/>
      <c r="E79" s="7">
        <f>7!H97</f>
        <v>120000</v>
      </c>
    </row>
    <row r="80" spans="1:5" ht="20.25">
      <c r="A80" s="9" t="s">
        <v>312</v>
      </c>
      <c r="B80" s="29" t="s">
        <v>313</v>
      </c>
      <c r="C80" s="30"/>
      <c r="D80" s="6"/>
      <c r="E80" s="7">
        <f>E81+E82</f>
        <v>300000</v>
      </c>
    </row>
    <row r="81" spans="1:5" ht="12.75">
      <c r="A81" s="9" t="s">
        <v>231</v>
      </c>
      <c r="B81" s="29"/>
      <c r="C81" s="30">
        <v>200</v>
      </c>
      <c r="D81" s="6"/>
      <c r="E81" s="7">
        <f>7!G198</f>
        <v>240000</v>
      </c>
    </row>
    <row r="82" spans="1:5" ht="12.75">
      <c r="A82" s="9" t="s">
        <v>264</v>
      </c>
      <c r="B82" s="29"/>
      <c r="C82" s="30">
        <v>400</v>
      </c>
      <c r="D82" s="49"/>
      <c r="E82" s="7">
        <f>7!G199</f>
        <v>60000</v>
      </c>
    </row>
    <row r="83" spans="1:163" s="22" customFormat="1" ht="12.75">
      <c r="A83" s="50" t="s">
        <v>21</v>
      </c>
      <c r="B83" s="41" t="s">
        <v>314</v>
      </c>
      <c r="C83" s="42"/>
      <c r="D83" s="20"/>
      <c r="E83" s="21">
        <f>E84+E102</f>
        <v>27024753.7</v>
      </c>
      <c r="F83" s="7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</row>
    <row r="84" spans="1:163" s="28" customFormat="1" ht="12.75">
      <c r="A84" s="23" t="s">
        <v>315</v>
      </c>
      <c r="B84" s="35" t="s">
        <v>316</v>
      </c>
      <c r="C84" s="43"/>
      <c r="D84" s="26"/>
      <c r="E84" s="27">
        <f>E85+E89+E91+E93+E96+E98+E87+E100</f>
        <v>15860751.24</v>
      </c>
      <c r="F84" s="7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</row>
    <row r="85" spans="1:6" s="71" customFormat="1" ht="12.75">
      <c r="A85" s="83" t="s">
        <v>460</v>
      </c>
      <c r="B85" s="84" t="s">
        <v>459</v>
      </c>
      <c r="C85" s="82"/>
      <c r="D85" s="85"/>
      <c r="E85" s="86">
        <f>E86</f>
        <v>1270868</v>
      </c>
      <c r="F85" s="74"/>
    </row>
    <row r="86" spans="1:6" s="71" customFormat="1" ht="12.75">
      <c r="A86" s="9" t="s">
        <v>319</v>
      </c>
      <c r="B86" s="29"/>
      <c r="C86" s="30">
        <v>200</v>
      </c>
      <c r="D86" s="85"/>
      <c r="E86" s="86">
        <f>7!G253</f>
        <v>1270868</v>
      </c>
      <c r="F86" s="74"/>
    </row>
    <row r="87" spans="1:5" ht="12.75">
      <c r="A87" s="9" t="s">
        <v>454</v>
      </c>
      <c r="B87" s="29" t="s">
        <v>453</v>
      </c>
      <c r="C87" s="30"/>
      <c r="D87" s="49"/>
      <c r="E87" s="7">
        <f>E88</f>
        <v>66888</v>
      </c>
    </row>
    <row r="88" spans="1:5" ht="12.75">
      <c r="A88" s="9" t="s">
        <v>319</v>
      </c>
      <c r="B88" s="29"/>
      <c r="C88" s="30">
        <v>200</v>
      </c>
      <c r="D88" s="49"/>
      <c r="E88" s="7">
        <f>7!H251</f>
        <v>66888</v>
      </c>
    </row>
    <row r="89" spans="1:5" s="71" customFormat="1" ht="12.75">
      <c r="A89" s="9" t="s">
        <v>461</v>
      </c>
      <c r="B89" s="29" t="s">
        <v>465</v>
      </c>
      <c r="C89" s="30"/>
      <c r="D89" s="85"/>
      <c r="E89" s="86">
        <f>E90</f>
        <v>0</v>
      </c>
    </row>
    <row r="90" spans="1:5" s="71" customFormat="1" ht="12.75">
      <c r="A90" s="9" t="s">
        <v>319</v>
      </c>
      <c r="B90" s="29"/>
      <c r="C90" s="30">
        <v>200</v>
      </c>
      <c r="D90" s="85"/>
      <c r="E90" s="86">
        <v>0</v>
      </c>
    </row>
    <row r="91" spans="1:5" s="71" customFormat="1" ht="12.75">
      <c r="A91" s="83" t="s">
        <v>458</v>
      </c>
      <c r="B91" s="84" t="s">
        <v>457</v>
      </c>
      <c r="C91" s="82"/>
      <c r="D91" s="85"/>
      <c r="E91" s="86">
        <f>E92</f>
        <v>156156</v>
      </c>
    </row>
    <row r="92" spans="1:5" s="71" customFormat="1" ht="12.75">
      <c r="A92" s="9" t="s">
        <v>319</v>
      </c>
      <c r="B92" s="29"/>
      <c r="C92" s="30">
        <v>200</v>
      </c>
      <c r="D92" s="85"/>
      <c r="E92" s="86">
        <f>7!G206</f>
        <v>156156</v>
      </c>
    </row>
    <row r="93" spans="1:5" ht="12.75">
      <c r="A93" s="51" t="s">
        <v>317</v>
      </c>
      <c r="B93" s="29" t="s">
        <v>318</v>
      </c>
      <c r="C93" s="30"/>
      <c r="D93" s="6"/>
      <c r="E93" s="7">
        <f>E94+E95</f>
        <v>5813458.46</v>
      </c>
    </row>
    <row r="94" spans="1:7" ht="12.75">
      <c r="A94" s="9" t="s">
        <v>319</v>
      </c>
      <c r="B94" s="29"/>
      <c r="C94" s="30">
        <v>200</v>
      </c>
      <c r="D94" s="52"/>
      <c r="E94" s="7">
        <f>7!I208</f>
        <v>5793458.46</v>
      </c>
      <c r="G94" s="44"/>
    </row>
    <row r="95" spans="1:7" ht="12.75">
      <c r="A95" s="9" t="s">
        <v>274</v>
      </c>
      <c r="B95" s="29"/>
      <c r="C95" s="30">
        <v>800</v>
      </c>
      <c r="D95" s="52"/>
      <c r="E95" s="7">
        <f>7!H217</f>
        <v>20000</v>
      </c>
      <c r="G95" s="44"/>
    </row>
    <row r="96" spans="1:5" ht="12.75">
      <c r="A96" s="9" t="s">
        <v>320</v>
      </c>
      <c r="B96" s="29" t="s">
        <v>321</v>
      </c>
      <c r="C96" s="30"/>
      <c r="D96" s="49"/>
      <c r="E96" s="7">
        <f>E97</f>
        <v>7205380.78</v>
      </c>
    </row>
    <row r="97" spans="1:5" ht="12.75">
      <c r="A97" s="9" t="s">
        <v>319</v>
      </c>
      <c r="B97" s="29"/>
      <c r="C97" s="30">
        <v>200</v>
      </c>
      <c r="D97" s="49"/>
      <c r="E97" s="7">
        <f>7!I219</f>
        <v>7205380.78</v>
      </c>
    </row>
    <row r="98" spans="1:5" ht="12.75">
      <c r="A98" s="9" t="s">
        <v>322</v>
      </c>
      <c r="B98" s="29" t="s">
        <v>323</v>
      </c>
      <c r="C98" s="30"/>
      <c r="D98" s="49"/>
      <c r="E98" s="7">
        <f>E99</f>
        <v>798000</v>
      </c>
    </row>
    <row r="99" spans="1:5" ht="12.75">
      <c r="A99" s="9" t="s">
        <v>319</v>
      </c>
      <c r="B99" s="29"/>
      <c r="C99" s="30">
        <v>200</v>
      </c>
      <c r="D99" s="49"/>
      <c r="E99" s="7">
        <f>7!H237</f>
        <v>798000</v>
      </c>
    </row>
    <row r="100" spans="1:5" ht="12.75">
      <c r="A100" s="9" t="s">
        <v>163</v>
      </c>
      <c r="B100" s="29" t="s">
        <v>162</v>
      </c>
      <c r="C100" s="30"/>
      <c r="D100" s="49"/>
      <c r="E100" s="7">
        <f>E101</f>
        <v>550000</v>
      </c>
    </row>
    <row r="101" spans="1:5" ht="12.75">
      <c r="A101" s="9" t="s">
        <v>319</v>
      </c>
      <c r="B101" s="29"/>
      <c r="C101" s="30">
        <v>200</v>
      </c>
      <c r="D101" s="49"/>
      <c r="E101" s="7">
        <f>7!G244</f>
        <v>550000</v>
      </c>
    </row>
    <row r="102" spans="1:163" s="28" customFormat="1" ht="12.75">
      <c r="A102" s="23" t="s">
        <v>324</v>
      </c>
      <c r="B102" s="35" t="s">
        <v>325</v>
      </c>
      <c r="C102" s="43"/>
      <c r="D102" s="53"/>
      <c r="E102" s="27">
        <f>E103+E107+E111+E109</f>
        <v>11164002.459999999</v>
      </c>
      <c r="F102" s="7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</row>
    <row r="103" spans="1:6" ht="12.75">
      <c r="A103" s="9" t="s">
        <v>326</v>
      </c>
      <c r="B103" s="29" t="s">
        <v>327</v>
      </c>
      <c r="C103" s="30"/>
      <c r="D103" s="49"/>
      <c r="E103" s="7">
        <f>E104+E105+E106</f>
        <v>9423356.01</v>
      </c>
      <c r="F103" s="74"/>
    </row>
    <row r="104" spans="1:5" ht="20.25">
      <c r="A104" s="9" t="s">
        <v>272</v>
      </c>
      <c r="B104" s="29"/>
      <c r="C104" s="30">
        <v>100</v>
      </c>
      <c r="D104" s="49"/>
      <c r="E104" s="7">
        <f>7!I282</f>
        <v>6876612.55</v>
      </c>
    </row>
    <row r="105" spans="1:5" ht="12.75">
      <c r="A105" s="9" t="s">
        <v>319</v>
      </c>
      <c r="B105" s="29"/>
      <c r="C105" s="30">
        <v>200</v>
      </c>
      <c r="D105" s="49"/>
      <c r="E105" s="7">
        <f>7!I284+7!I307</f>
        <v>2374733.06</v>
      </c>
    </row>
    <row r="106" spans="1:5" ht="12.75">
      <c r="A106" s="9" t="s">
        <v>274</v>
      </c>
      <c r="B106" s="29"/>
      <c r="C106" s="30">
        <v>800</v>
      </c>
      <c r="D106" s="49"/>
      <c r="E106" s="7">
        <f>7!I300</f>
        <v>172010.4</v>
      </c>
    </row>
    <row r="107" spans="1:5" ht="12.75">
      <c r="A107" s="9" t="s">
        <v>328</v>
      </c>
      <c r="B107" s="29" t="s">
        <v>329</v>
      </c>
      <c r="C107" s="30"/>
      <c r="D107" s="49"/>
      <c r="E107" s="7">
        <f>E108</f>
        <v>1690646.45</v>
      </c>
    </row>
    <row r="108" spans="1:5" ht="12.75">
      <c r="A108" s="9" t="s">
        <v>319</v>
      </c>
      <c r="B108" s="29"/>
      <c r="C108" s="30">
        <v>200</v>
      </c>
      <c r="D108" s="49"/>
      <c r="E108" s="7">
        <f>7!I246</f>
        <v>1690646.45</v>
      </c>
    </row>
    <row r="109" spans="1:5" ht="20.25">
      <c r="A109" s="9" t="s">
        <v>171</v>
      </c>
      <c r="B109" s="29" t="s">
        <v>170</v>
      </c>
      <c r="C109" s="30"/>
      <c r="D109" s="49"/>
      <c r="E109" s="7">
        <f>E110</f>
        <v>50000</v>
      </c>
    </row>
    <row r="110" spans="1:5" ht="12.75">
      <c r="A110" s="9" t="s">
        <v>319</v>
      </c>
      <c r="B110" s="29"/>
      <c r="C110" s="30">
        <v>200</v>
      </c>
      <c r="D110" s="49"/>
      <c r="E110" s="7">
        <v>50000</v>
      </c>
    </row>
    <row r="111" spans="1:5" ht="20.25">
      <c r="A111" s="9" t="s">
        <v>464</v>
      </c>
      <c r="B111" s="29" t="s">
        <v>467</v>
      </c>
      <c r="C111" s="30"/>
      <c r="D111" s="49"/>
      <c r="E111" s="7">
        <f>E112</f>
        <v>0</v>
      </c>
    </row>
    <row r="112" spans="1:5" ht="12.75">
      <c r="A112" s="9" t="s">
        <v>319</v>
      </c>
      <c r="B112" s="29"/>
      <c r="C112" s="30">
        <v>200</v>
      </c>
      <c r="D112" s="49"/>
      <c r="E112" s="7">
        <v>0</v>
      </c>
    </row>
    <row r="113" spans="1:163" s="56" customFormat="1" ht="12.75">
      <c r="A113" s="11" t="s">
        <v>330</v>
      </c>
      <c r="B113" s="39" t="s">
        <v>331</v>
      </c>
      <c r="C113" s="13"/>
      <c r="D113" s="54"/>
      <c r="E113" s="15">
        <f>E114</f>
        <v>1836705.95</v>
      </c>
      <c r="F113" s="76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  <c r="DT113" s="55"/>
      <c r="DU113" s="55"/>
      <c r="DV113" s="55"/>
      <c r="DW113" s="55"/>
      <c r="DX113" s="55"/>
      <c r="DY113" s="55"/>
      <c r="DZ113" s="55"/>
      <c r="EA113" s="55"/>
      <c r="EB113" s="55"/>
      <c r="EC113" s="55"/>
      <c r="ED113" s="55"/>
      <c r="EE113" s="55"/>
      <c r="EF113" s="55"/>
      <c r="EG113" s="55"/>
      <c r="EH113" s="55"/>
      <c r="EI113" s="55"/>
      <c r="EJ113" s="55"/>
      <c r="EK113" s="55"/>
      <c r="EL113" s="55"/>
      <c r="EM113" s="55"/>
      <c r="EN113" s="55"/>
      <c r="EO113" s="55"/>
      <c r="EP113" s="55"/>
      <c r="EQ113" s="55"/>
      <c r="ER113" s="55"/>
      <c r="ES113" s="55"/>
      <c r="ET113" s="55"/>
      <c r="EU113" s="55"/>
      <c r="EV113" s="55"/>
      <c r="EW113" s="55"/>
      <c r="EX113" s="55"/>
      <c r="EY113" s="55"/>
      <c r="EZ113" s="55"/>
      <c r="FA113" s="55"/>
      <c r="FB113" s="55"/>
      <c r="FC113" s="55"/>
      <c r="FD113" s="55"/>
      <c r="FE113" s="55"/>
      <c r="FF113" s="55"/>
      <c r="FG113" s="55"/>
    </row>
    <row r="114" spans="1:5" ht="12.75">
      <c r="A114" s="50" t="s">
        <v>22</v>
      </c>
      <c r="B114" s="41" t="s">
        <v>332</v>
      </c>
      <c r="C114" s="42"/>
      <c r="D114" s="57"/>
      <c r="E114" s="21">
        <f>E115+E118+E121+E124+E126</f>
        <v>1836705.95</v>
      </c>
    </row>
    <row r="115" spans="1:163" s="28" customFormat="1" ht="12.75">
      <c r="A115" s="23" t="s">
        <v>333</v>
      </c>
      <c r="B115" s="35" t="s">
        <v>334</v>
      </c>
      <c r="C115" s="43"/>
      <c r="D115" s="53"/>
      <c r="E115" s="27">
        <f>E116</f>
        <v>618016</v>
      </c>
      <c r="F115" s="7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</row>
    <row r="116" spans="1:5" ht="12.75">
      <c r="A116" s="9" t="s">
        <v>333</v>
      </c>
      <c r="B116" s="29" t="s">
        <v>335</v>
      </c>
      <c r="C116" s="30"/>
      <c r="D116" s="49"/>
      <c r="E116" s="7">
        <f>E117</f>
        <v>618016</v>
      </c>
    </row>
    <row r="117" spans="1:5" ht="12.75">
      <c r="A117" s="9" t="s">
        <v>319</v>
      </c>
      <c r="B117" s="29"/>
      <c r="C117" s="30">
        <v>200</v>
      </c>
      <c r="D117" s="49"/>
      <c r="E117" s="7">
        <f>7!I43</f>
        <v>618016</v>
      </c>
    </row>
    <row r="118" spans="1:163" s="28" customFormat="1" ht="20.25">
      <c r="A118" s="23" t="s">
        <v>336</v>
      </c>
      <c r="B118" s="35" t="s">
        <v>337</v>
      </c>
      <c r="C118" s="43"/>
      <c r="D118" s="53"/>
      <c r="E118" s="27">
        <f>E119</f>
        <v>402721</v>
      </c>
      <c r="F118" s="7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</row>
    <row r="119" spans="1:5" ht="12.75">
      <c r="A119" s="9" t="s">
        <v>338</v>
      </c>
      <c r="B119" s="29" t="s">
        <v>339</v>
      </c>
      <c r="C119" s="30"/>
      <c r="D119" s="49"/>
      <c r="E119" s="7">
        <f>E120</f>
        <v>402721</v>
      </c>
    </row>
    <row r="120" spans="1:5" ht="12.75">
      <c r="A120" s="9" t="s">
        <v>319</v>
      </c>
      <c r="B120" s="29"/>
      <c r="C120" s="30">
        <v>200</v>
      </c>
      <c r="D120" s="49"/>
      <c r="E120" s="7">
        <f>7!I50</f>
        <v>402721</v>
      </c>
    </row>
    <row r="121" spans="1:163" s="28" customFormat="1" ht="12.75">
      <c r="A121" s="23" t="s">
        <v>340</v>
      </c>
      <c r="B121" s="35" t="s">
        <v>341</v>
      </c>
      <c r="C121" s="43"/>
      <c r="D121" s="53"/>
      <c r="E121" s="27">
        <f>E122</f>
        <v>91500</v>
      </c>
      <c r="F121" s="7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</row>
    <row r="122" spans="1:5" ht="12.75">
      <c r="A122" s="9" t="s">
        <v>342</v>
      </c>
      <c r="B122" s="29" t="s">
        <v>343</v>
      </c>
      <c r="C122" s="30"/>
      <c r="D122" s="49"/>
      <c r="E122" s="7">
        <f>E123</f>
        <v>91500</v>
      </c>
    </row>
    <row r="123" spans="1:5" ht="12.75">
      <c r="A123" s="9" t="s">
        <v>319</v>
      </c>
      <c r="B123" s="29"/>
      <c r="C123" s="30">
        <v>200</v>
      </c>
      <c r="D123" s="49"/>
      <c r="E123" s="7">
        <f>7!I60+7!I314</f>
        <v>91500</v>
      </c>
    </row>
    <row r="124" spans="1:5" ht="12.75">
      <c r="A124" s="9" t="s">
        <v>477</v>
      </c>
      <c r="B124" s="29" t="s">
        <v>476</v>
      </c>
      <c r="C124" s="30"/>
      <c r="D124" s="49"/>
      <c r="E124" s="7">
        <f>E125</f>
        <v>40000</v>
      </c>
    </row>
    <row r="125" spans="1:5" ht="12.75">
      <c r="A125" s="9" t="s">
        <v>478</v>
      </c>
      <c r="B125" s="29"/>
      <c r="C125" s="30">
        <v>700</v>
      </c>
      <c r="D125" s="49"/>
      <c r="E125" s="7">
        <f>7!H364</f>
        <v>40000</v>
      </c>
    </row>
    <row r="126" spans="1:5" ht="12.75">
      <c r="A126" s="23" t="s">
        <v>452</v>
      </c>
      <c r="B126" s="35" t="s">
        <v>451</v>
      </c>
      <c r="C126" s="43"/>
      <c r="D126" s="53"/>
      <c r="E126" s="27">
        <f>E127+E129+E131</f>
        <v>684468.95</v>
      </c>
    </row>
    <row r="127" spans="1:5" ht="12.75">
      <c r="A127" s="9" t="s">
        <v>450</v>
      </c>
      <c r="B127" s="29" t="s">
        <v>449</v>
      </c>
      <c r="C127" s="6"/>
      <c r="D127" s="6"/>
      <c r="E127" s="7">
        <f>E128</f>
        <v>667870</v>
      </c>
    </row>
    <row r="128" spans="1:5" ht="12.75">
      <c r="A128" s="9" t="s">
        <v>319</v>
      </c>
      <c r="B128" s="29"/>
      <c r="C128" s="30">
        <v>200</v>
      </c>
      <c r="D128" s="49"/>
      <c r="E128" s="7">
        <f>7!I65</f>
        <v>667870</v>
      </c>
    </row>
    <row r="129" spans="1:5" ht="20.25">
      <c r="A129" s="9" t="s">
        <v>46</v>
      </c>
      <c r="B129" s="29" t="s">
        <v>45</v>
      </c>
      <c r="C129" s="30"/>
      <c r="D129" s="49"/>
      <c r="E129" s="7">
        <f>7!G159</f>
        <v>15769</v>
      </c>
    </row>
    <row r="130" spans="1:5" ht="12.75">
      <c r="A130" s="150" t="s">
        <v>273</v>
      </c>
      <c r="B130" s="29"/>
      <c r="C130" s="30">
        <v>500</v>
      </c>
      <c r="D130" s="49"/>
      <c r="E130" s="7">
        <f>7!G159</f>
        <v>15769</v>
      </c>
    </row>
    <row r="131" spans="1:5" ht="20.25">
      <c r="A131" s="9" t="s">
        <v>49</v>
      </c>
      <c r="B131" s="29" t="s">
        <v>48</v>
      </c>
      <c r="C131" s="30"/>
      <c r="D131" s="49"/>
      <c r="E131" s="7">
        <f>7!H161</f>
        <v>829.95</v>
      </c>
    </row>
    <row r="132" spans="1:5" ht="12.75">
      <c r="A132" s="150" t="s">
        <v>273</v>
      </c>
      <c r="B132" s="29"/>
      <c r="C132" s="30">
        <v>500</v>
      </c>
      <c r="D132" s="49"/>
      <c r="E132" s="7">
        <f>7!H162</f>
        <v>829.95</v>
      </c>
    </row>
    <row r="133" spans="1:163" s="16" customFormat="1" ht="12.75">
      <c r="A133" s="11" t="s">
        <v>344</v>
      </c>
      <c r="B133" s="39" t="s">
        <v>345</v>
      </c>
      <c r="C133" s="13" t="s">
        <v>225</v>
      </c>
      <c r="D133" s="40"/>
      <c r="E133" s="15">
        <f>E134</f>
        <v>22987593.610000003</v>
      </c>
      <c r="F133" s="74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</row>
    <row r="134" spans="1:5" ht="12.75">
      <c r="A134" s="17" t="s">
        <v>23</v>
      </c>
      <c r="B134" s="41" t="s">
        <v>346</v>
      </c>
      <c r="C134" s="19" t="s">
        <v>225</v>
      </c>
      <c r="D134" s="20"/>
      <c r="E134" s="21">
        <f>E135</f>
        <v>22987593.610000003</v>
      </c>
    </row>
    <row r="135" spans="1:163" s="28" customFormat="1" ht="12.75">
      <c r="A135" s="23" t="s">
        <v>347</v>
      </c>
      <c r="B135" s="35" t="s">
        <v>348</v>
      </c>
      <c r="C135" s="43"/>
      <c r="D135" s="26"/>
      <c r="E135" s="27">
        <f>E136+E139+E141+E143+E145+E147</f>
        <v>22987593.610000003</v>
      </c>
      <c r="F135" s="7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</row>
    <row r="136" spans="1:5" ht="12.75">
      <c r="A136" s="9" t="s">
        <v>28</v>
      </c>
      <c r="B136" s="29" t="s">
        <v>349</v>
      </c>
      <c r="C136" s="30" t="s">
        <v>225</v>
      </c>
      <c r="D136" s="6"/>
      <c r="E136" s="7">
        <f>E137+E138</f>
        <v>8977164.71</v>
      </c>
    </row>
    <row r="137" spans="1:5" ht="12.75">
      <c r="A137" s="9" t="s">
        <v>319</v>
      </c>
      <c r="B137" s="29"/>
      <c r="C137" s="30">
        <v>200</v>
      </c>
      <c r="D137" s="6"/>
      <c r="E137" s="7">
        <f>7!I104</f>
        <v>8977164.71</v>
      </c>
    </row>
    <row r="138" spans="1:5" ht="12.75">
      <c r="A138" s="9" t="s">
        <v>274</v>
      </c>
      <c r="B138" s="29"/>
      <c r="C138" s="30">
        <v>800</v>
      </c>
      <c r="D138" s="6"/>
      <c r="E138" s="7">
        <f>7!H144</f>
        <v>0</v>
      </c>
    </row>
    <row r="139" spans="1:5" ht="12.75">
      <c r="A139" s="9" t="s">
        <v>350</v>
      </c>
      <c r="B139" s="29" t="s">
        <v>351</v>
      </c>
      <c r="C139" s="30"/>
      <c r="D139" s="6"/>
      <c r="E139" s="7">
        <f>E140</f>
        <v>1657168.46</v>
      </c>
    </row>
    <row r="140" spans="1:5" ht="12.75">
      <c r="A140" s="9" t="s">
        <v>319</v>
      </c>
      <c r="B140" s="29"/>
      <c r="C140" s="30">
        <v>200</v>
      </c>
      <c r="D140" s="6"/>
      <c r="E140" s="7">
        <f>7!G146</f>
        <v>1657168.46</v>
      </c>
    </row>
    <row r="141" spans="1:6" ht="12.75">
      <c r="A141" s="9" t="s">
        <v>352</v>
      </c>
      <c r="B141" s="29" t="s">
        <v>353</v>
      </c>
      <c r="C141" s="30"/>
      <c r="D141" s="58"/>
      <c r="E141" s="7">
        <f>E142</f>
        <v>5994488</v>
      </c>
      <c r="F141" s="74"/>
    </row>
    <row r="142" spans="1:6" ht="12.75">
      <c r="A142" s="9" t="s">
        <v>319</v>
      </c>
      <c r="B142" s="29"/>
      <c r="C142" s="30">
        <v>200</v>
      </c>
      <c r="D142" s="58"/>
      <c r="E142" s="86">
        <v>5994488</v>
      </c>
      <c r="F142" s="74"/>
    </row>
    <row r="143" spans="1:5" ht="12.75">
      <c r="A143" s="9" t="s">
        <v>463</v>
      </c>
      <c r="B143" s="29" t="s">
        <v>462</v>
      </c>
      <c r="C143" s="30"/>
      <c r="D143" s="58"/>
      <c r="E143" s="86">
        <f>E144</f>
        <v>315499.44</v>
      </c>
    </row>
    <row r="144" spans="1:5" ht="12.75">
      <c r="A144" s="9" t="s">
        <v>319</v>
      </c>
      <c r="B144" s="29"/>
      <c r="C144" s="30">
        <v>200</v>
      </c>
      <c r="D144" s="58"/>
      <c r="E144" s="86">
        <f>7!I150</f>
        <v>315499.44</v>
      </c>
    </row>
    <row r="145" spans="1:5" ht="20.25">
      <c r="A145" s="9" t="s">
        <v>540</v>
      </c>
      <c r="B145" s="154" t="s">
        <v>541</v>
      </c>
      <c r="C145" s="30"/>
      <c r="D145" s="58"/>
      <c r="E145" s="86">
        <f>E146</f>
        <v>700000</v>
      </c>
    </row>
    <row r="146" spans="1:5" ht="12.75">
      <c r="A146" s="9" t="s">
        <v>319</v>
      </c>
      <c r="B146" s="29"/>
      <c r="C146" s="30">
        <v>200</v>
      </c>
      <c r="D146" s="58"/>
      <c r="E146" s="86">
        <f>7!H153</f>
        <v>700000</v>
      </c>
    </row>
    <row r="147" spans="1:5" ht="20.25">
      <c r="A147" s="9" t="s">
        <v>538</v>
      </c>
      <c r="B147" s="29" t="s">
        <v>539</v>
      </c>
      <c r="C147" s="30"/>
      <c r="D147" s="59"/>
      <c r="E147" s="86">
        <f>E148</f>
        <v>5343273</v>
      </c>
    </row>
    <row r="148" spans="1:5" ht="12.75">
      <c r="A148" s="9" t="s">
        <v>319</v>
      </c>
      <c r="B148" s="29"/>
      <c r="C148" s="30">
        <v>200</v>
      </c>
      <c r="D148" s="58"/>
      <c r="E148" s="7">
        <f>7!G152</f>
        <v>5343273</v>
      </c>
    </row>
    <row r="149" spans="1:6" ht="12.75">
      <c r="A149" s="87" t="s">
        <v>376</v>
      </c>
      <c r="B149" s="70" t="s">
        <v>377</v>
      </c>
      <c r="C149" s="70"/>
      <c r="D149" s="88"/>
      <c r="E149" s="15">
        <f>E150</f>
        <v>27534035</v>
      </c>
      <c r="F149" s="74"/>
    </row>
    <row r="150" spans="1:5" ht="12.75">
      <c r="A150" s="64" t="s">
        <v>32</v>
      </c>
      <c r="B150" s="65" t="s">
        <v>378</v>
      </c>
      <c r="C150" s="65"/>
      <c r="D150" s="66"/>
      <c r="E150" s="21">
        <f>E151+E154+E159</f>
        <v>27534035</v>
      </c>
    </row>
    <row r="151" spans="1:5" ht="12.75">
      <c r="A151" s="67" t="s">
        <v>379</v>
      </c>
      <c r="B151" s="68" t="s">
        <v>380</v>
      </c>
      <c r="C151" s="68"/>
      <c r="D151" s="69"/>
      <c r="E151" s="27">
        <f>E152</f>
        <v>9547617</v>
      </c>
    </row>
    <row r="152" spans="1:5" ht="12.75">
      <c r="A152" s="51" t="s">
        <v>381</v>
      </c>
      <c r="B152" s="63" t="s">
        <v>382</v>
      </c>
      <c r="C152" s="63"/>
      <c r="D152" s="58"/>
      <c r="E152" s="7">
        <f>E153</f>
        <v>9547617</v>
      </c>
    </row>
    <row r="153" spans="1:5" ht="12.75">
      <c r="A153" s="9" t="s">
        <v>319</v>
      </c>
      <c r="B153" s="29"/>
      <c r="C153" s="30">
        <v>200</v>
      </c>
      <c r="D153" s="58"/>
      <c r="E153" s="7">
        <f>7!H254+7!G255</f>
        <v>9547617</v>
      </c>
    </row>
    <row r="154" spans="1:5" ht="12.75">
      <c r="A154" s="23" t="s">
        <v>33</v>
      </c>
      <c r="B154" s="35" t="s">
        <v>479</v>
      </c>
      <c r="C154" s="43"/>
      <c r="D154" s="69"/>
      <c r="E154" s="27">
        <f>E155+E157</f>
        <v>486418</v>
      </c>
    </row>
    <row r="155" spans="1:5" ht="12.75">
      <c r="A155" s="9" t="s">
        <v>480</v>
      </c>
      <c r="B155" s="29" t="s">
        <v>493</v>
      </c>
      <c r="C155" s="30"/>
      <c r="D155" s="58"/>
      <c r="E155" s="7">
        <f>7!G264</f>
        <v>456418</v>
      </c>
    </row>
    <row r="156" spans="1:5" ht="12.75">
      <c r="A156" s="9" t="s">
        <v>319</v>
      </c>
      <c r="B156" s="29"/>
      <c r="C156" s="30">
        <v>200</v>
      </c>
      <c r="D156" s="58"/>
      <c r="E156" s="7">
        <f>7!G264</f>
        <v>456418</v>
      </c>
    </row>
    <row r="157" spans="1:5" ht="12.75">
      <c r="A157" s="9" t="s">
        <v>481</v>
      </c>
      <c r="B157" s="29" t="s">
        <v>494</v>
      </c>
      <c r="C157" s="30"/>
      <c r="D157" s="58"/>
      <c r="E157" s="7">
        <f>E158</f>
        <v>30000</v>
      </c>
    </row>
    <row r="158" spans="1:6" s="91" customFormat="1" ht="12.75">
      <c r="A158" s="9" t="s">
        <v>319</v>
      </c>
      <c r="B158" s="29"/>
      <c r="C158" s="30">
        <v>200</v>
      </c>
      <c r="D158" s="89"/>
      <c r="E158" s="7">
        <f>7!H265</f>
        <v>30000</v>
      </c>
      <c r="F158" s="90"/>
    </row>
    <row r="159" spans="1:6" s="91" customFormat="1" ht="12.75">
      <c r="A159" s="9" t="s">
        <v>158</v>
      </c>
      <c r="B159" s="238" t="s">
        <v>156</v>
      </c>
      <c r="C159" s="30"/>
      <c r="D159" s="89"/>
      <c r="E159" s="7">
        <f>7!G267</f>
        <v>17500000</v>
      </c>
      <c r="F159" s="90"/>
    </row>
    <row r="160" spans="1:6" s="91" customFormat="1" ht="12.75">
      <c r="A160" s="9" t="s">
        <v>319</v>
      </c>
      <c r="B160" s="29"/>
      <c r="C160" s="30">
        <v>200</v>
      </c>
      <c r="D160" s="89"/>
      <c r="E160" s="7">
        <f>7!G268</f>
        <v>17500000</v>
      </c>
      <c r="F160" s="90"/>
    </row>
    <row r="161" spans="1:6" s="91" customFormat="1" ht="12.75">
      <c r="A161" s="87" t="s">
        <v>483</v>
      </c>
      <c r="B161" s="95" t="s">
        <v>482</v>
      </c>
      <c r="C161" s="13"/>
      <c r="D161" s="94"/>
      <c r="E161" s="15">
        <f>E162</f>
        <v>0</v>
      </c>
      <c r="F161" s="216"/>
    </row>
    <row r="162" spans="1:6" s="91" customFormat="1" ht="12.75">
      <c r="A162" s="64" t="s">
        <v>24</v>
      </c>
      <c r="B162" s="41" t="s">
        <v>484</v>
      </c>
      <c r="C162" s="42"/>
      <c r="D162" s="93"/>
      <c r="E162" s="21">
        <f>E163</f>
        <v>0</v>
      </c>
      <c r="F162" s="90"/>
    </row>
    <row r="163" spans="1:6" s="91" customFormat="1" ht="12.75">
      <c r="A163" s="23" t="s">
        <v>486</v>
      </c>
      <c r="B163" s="35" t="s">
        <v>485</v>
      </c>
      <c r="C163" s="43"/>
      <c r="D163" s="92"/>
      <c r="E163" s="27">
        <f>E164</f>
        <v>0</v>
      </c>
      <c r="F163" s="90"/>
    </row>
    <row r="164" spans="1:6" s="91" customFormat="1" ht="12.75">
      <c r="A164" s="9" t="s">
        <v>488</v>
      </c>
      <c r="B164" s="29" t="s">
        <v>487</v>
      </c>
      <c r="C164" s="30"/>
      <c r="D164" s="89"/>
      <c r="E164" s="7">
        <f>E165</f>
        <v>0</v>
      </c>
      <c r="F164" s="90"/>
    </row>
    <row r="165" spans="1:5" ht="12.75">
      <c r="A165" s="9" t="s">
        <v>319</v>
      </c>
      <c r="B165" s="29"/>
      <c r="C165" s="30">
        <v>200</v>
      </c>
      <c r="D165" s="58"/>
      <c r="E165" s="7">
        <f>7!I270</f>
        <v>0</v>
      </c>
    </row>
    <row r="166" spans="1:163" s="16" customFormat="1" ht="12.75">
      <c r="A166" s="11" t="s">
        <v>354</v>
      </c>
      <c r="B166" s="39" t="s">
        <v>355</v>
      </c>
      <c r="C166" s="70"/>
      <c r="D166" s="14"/>
      <c r="E166" s="15">
        <f>E167+E169+E173+E175+E177+E179+E184+E186+E189+E191</f>
        <v>9900962.77</v>
      </c>
      <c r="F166" s="74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</row>
    <row r="167" spans="1:5" ht="12.75">
      <c r="A167" s="9" t="s">
        <v>356</v>
      </c>
      <c r="B167" s="29" t="s">
        <v>357</v>
      </c>
      <c r="C167" s="30" t="s">
        <v>225</v>
      </c>
      <c r="D167" s="6"/>
      <c r="E167" s="7">
        <f>E168</f>
        <v>1103300.01</v>
      </c>
    </row>
    <row r="168" spans="1:5" ht="20.25">
      <c r="A168" s="9" t="s">
        <v>272</v>
      </c>
      <c r="B168" s="29"/>
      <c r="C168" s="30">
        <v>100</v>
      </c>
      <c r="D168" s="6"/>
      <c r="E168" s="86">
        <f>7!I12</f>
        <v>1103300.01</v>
      </c>
    </row>
    <row r="169" spans="1:6" ht="12.75">
      <c r="A169" s="9" t="s">
        <v>358</v>
      </c>
      <c r="B169" s="29" t="s">
        <v>359</v>
      </c>
      <c r="C169" s="30" t="s">
        <v>225</v>
      </c>
      <c r="D169" s="6"/>
      <c r="E169" s="86">
        <f>E170+E171+E172</f>
        <v>7655633.839999999</v>
      </c>
      <c r="F169" s="74"/>
    </row>
    <row r="170" spans="1:5" ht="20.25">
      <c r="A170" s="9" t="s">
        <v>272</v>
      </c>
      <c r="B170" s="29"/>
      <c r="C170" s="30">
        <v>100</v>
      </c>
      <c r="D170" s="6"/>
      <c r="E170" s="86">
        <f>7!I17</f>
        <v>6994200.619999999</v>
      </c>
    </row>
    <row r="171" spans="1:5" ht="12.75">
      <c r="A171" s="9" t="s">
        <v>319</v>
      </c>
      <c r="B171" s="29"/>
      <c r="C171" s="30">
        <v>200</v>
      </c>
      <c r="D171" s="6"/>
      <c r="E171" s="7">
        <f>7!I18</f>
        <v>149785.22</v>
      </c>
    </row>
    <row r="172" spans="1:5" ht="12.75">
      <c r="A172" s="9" t="s">
        <v>274</v>
      </c>
      <c r="B172" s="29"/>
      <c r="C172" s="30">
        <v>800</v>
      </c>
      <c r="D172" s="6"/>
      <c r="E172" s="7">
        <f>7!I24</f>
        <v>511648</v>
      </c>
    </row>
    <row r="173" spans="1:5" ht="12.75">
      <c r="A173" s="9" t="s">
        <v>360</v>
      </c>
      <c r="B173" s="29" t="s">
        <v>361</v>
      </c>
      <c r="C173" s="30" t="s">
        <v>225</v>
      </c>
      <c r="D173" s="6"/>
      <c r="E173" s="7">
        <f>E174</f>
        <v>50100</v>
      </c>
    </row>
    <row r="174" spans="1:5" ht="12.75">
      <c r="A174" s="9" t="s">
        <v>273</v>
      </c>
      <c r="B174" s="29"/>
      <c r="C174" s="30">
        <v>500</v>
      </c>
      <c r="D174" s="6"/>
      <c r="E174" s="7">
        <f>7!I31</f>
        <v>50100</v>
      </c>
    </row>
    <row r="175" spans="1:5" ht="12.75">
      <c r="A175" s="9" t="s">
        <v>362</v>
      </c>
      <c r="B175" s="29" t="s">
        <v>363</v>
      </c>
      <c r="C175" s="30" t="s">
        <v>225</v>
      </c>
      <c r="D175" s="6"/>
      <c r="E175" s="7">
        <f>E176</f>
        <v>155000</v>
      </c>
    </row>
    <row r="176" spans="1:5" ht="12.75">
      <c r="A176" s="9" t="s">
        <v>274</v>
      </c>
      <c r="B176" s="29"/>
      <c r="C176" s="30">
        <v>800</v>
      </c>
      <c r="D176" s="6"/>
      <c r="E176" s="7">
        <f>7!I38</f>
        <v>155000</v>
      </c>
    </row>
    <row r="177" spans="1:5" ht="12.75">
      <c r="A177" s="9" t="s">
        <v>364</v>
      </c>
      <c r="B177" s="29" t="s">
        <v>365</v>
      </c>
      <c r="C177" s="30" t="s">
        <v>225</v>
      </c>
      <c r="D177" s="6"/>
      <c r="E177" s="7">
        <f>E178</f>
        <v>113500</v>
      </c>
    </row>
    <row r="178" spans="1:5" ht="12.75">
      <c r="A178" s="9" t="s">
        <v>319</v>
      </c>
      <c r="B178" s="29"/>
      <c r="C178" s="30">
        <v>200</v>
      </c>
      <c r="D178" s="6"/>
      <c r="E178" s="7">
        <f>7!I85</f>
        <v>113500</v>
      </c>
    </row>
    <row r="179" spans="1:5" ht="12.75">
      <c r="A179" s="9" t="s">
        <v>366</v>
      </c>
      <c r="B179" s="29" t="s">
        <v>367</v>
      </c>
      <c r="C179" s="30"/>
      <c r="D179" s="6"/>
      <c r="E179" s="7">
        <f>E180+E181</f>
        <v>59000</v>
      </c>
    </row>
    <row r="180" spans="1:5" ht="20.25">
      <c r="A180" s="9" t="s">
        <v>272</v>
      </c>
      <c r="B180" s="29"/>
      <c r="C180" s="30">
        <v>100</v>
      </c>
      <c r="D180" s="6"/>
      <c r="E180" s="7">
        <f>7!I92</f>
        <v>50000</v>
      </c>
    </row>
    <row r="181" spans="1:5" ht="12.75">
      <c r="A181" s="9" t="s">
        <v>319</v>
      </c>
      <c r="B181" s="29"/>
      <c r="C181" s="30">
        <v>200</v>
      </c>
      <c r="D181" s="6"/>
      <c r="E181" s="7">
        <f>7!I93</f>
        <v>9000</v>
      </c>
    </row>
    <row r="182" spans="1:5" ht="12.75" hidden="1">
      <c r="A182" s="9" t="s">
        <v>368</v>
      </c>
      <c r="B182" s="29" t="s">
        <v>369</v>
      </c>
      <c r="C182" s="30"/>
      <c r="D182" s="6"/>
      <c r="E182" s="7">
        <f>E183</f>
        <v>0</v>
      </c>
    </row>
    <row r="183" spans="1:5" ht="12.75" hidden="1">
      <c r="A183" s="9" t="s">
        <v>319</v>
      </c>
      <c r="B183" s="29"/>
      <c r="C183" s="30">
        <v>200</v>
      </c>
      <c r="D183" s="6"/>
      <c r="E183" s="7"/>
    </row>
    <row r="184" spans="1:5" ht="12.75">
      <c r="A184" s="9" t="s">
        <v>370</v>
      </c>
      <c r="B184" s="29" t="s">
        <v>371</v>
      </c>
      <c r="C184" s="30"/>
      <c r="D184" s="6"/>
      <c r="E184" s="7">
        <f>E185</f>
        <v>125827.88</v>
      </c>
    </row>
    <row r="185" spans="1:5" ht="12.75">
      <c r="A185" s="9" t="s">
        <v>273</v>
      </c>
      <c r="B185" s="29"/>
      <c r="C185" s="30">
        <v>500</v>
      </c>
      <c r="D185" s="6"/>
      <c r="E185" s="7">
        <f>7!I34</f>
        <v>125827.88</v>
      </c>
    </row>
    <row r="186" spans="1:5" ht="12.75">
      <c r="A186" s="9" t="s">
        <v>372</v>
      </c>
      <c r="B186" s="29" t="s">
        <v>373</v>
      </c>
      <c r="C186" s="30"/>
      <c r="D186" s="6"/>
      <c r="E186" s="7">
        <f>E187+E188</f>
        <v>487824</v>
      </c>
    </row>
    <row r="187" spans="1:5" ht="20.25">
      <c r="A187" s="9" t="s">
        <v>272</v>
      </c>
      <c r="B187" s="29"/>
      <c r="C187" s="30">
        <v>100</v>
      </c>
      <c r="D187" s="6"/>
      <c r="E187" s="7">
        <f>7!I80</f>
        <v>401419</v>
      </c>
    </row>
    <row r="188" spans="1:5" ht="12.75">
      <c r="A188" s="9" t="s">
        <v>319</v>
      </c>
      <c r="B188" s="29"/>
      <c r="C188" s="30">
        <v>200</v>
      </c>
      <c r="D188" s="6"/>
      <c r="E188" s="7">
        <f>7!I81</f>
        <v>86405</v>
      </c>
    </row>
    <row r="189" spans="1:5" ht="12.75">
      <c r="A189" s="9" t="s">
        <v>374</v>
      </c>
      <c r="B189" s="29" t="s">
        <v>375</v>
      </c>
      <c r="C189" s="30"/>
      <c r="D189" s="6"/>
      <c r="E189" s="7">
        <f>E190</f>
        <v>140777.04</v>
      </c>
    </row>
    <row r="190" spans="1:5" ht="12.75">
      <c r="A190" s="9" t="s">
        <v>274</v>
      </c>
      <c r="B190" s="29"/>
      <c r="C190" s="30">
        <v>800</v>
      </c>
      <c r="D190" s="6"/>
      <c r="E190" s="7">
        <f>7!H74+7!H184</f>
        <v>140777.04</v>
      </c>
    </row>
    <row r="191" spans="1:5" ht="12.75">
      <c r="A191" s="9" t="s">
        <v>471</v>
      </c>
      <c r="B191" s="29" t="s">
        <v>470</v>
      </c>
      <c r="C191" s="30"/>
      <c r="D191" s="6"/>
      <c r="E191" s="7">
        <f>E192</f>
        <v>10000</v>
      </c>
    </row>
    <row r="192" spans="1:5" ht="12.75">
      <c r="A192" s="9" t="s">
        <v>274</v>
      </c>
      <c r="B192" s="29"/>
      <c r="C192" s="30">
        <v>800</v>
      </c>
      <c r="D192" s="6"/>
      <c r="E192" s="7">
        <f>7!I75</f>
        <v>10000</v>
      </c>
    </row>
    <row r="193" spans="1:5" ht="12.75">
      <c r="A193" s="60" t="s">
        <v>475</v>
      </c>
      <c r="B193" s="29"/>
      <c r="C193" s="30"/>
      <c r="D193" s="6"/>
      <c r="E193" s="7">
        <f>9!D18</f>
        <v>-1090374.549999997</v>
      </c>
    </row>
    <row r="194" spans="1:6" ht="12.75">
      <c r="A194" s="61" t="s">
        <v>219</v>
      </c>
      <c r="B194" s="59"/>
      <c r="C194" s="6"/>
      <c r="D194" s="6"/>
      <c r="E194" s="62">
        <f>E7+E12+E24+E43+E62+E67+E113+E133+E149+E161+E166</f>
        <v>100533161.02</v>
      </c>
      <c r="F194" s="74">
        <f>B194</f>
        <v>0</v>
      </c>
    </row>
    <row r="195" ht="12.75">
      <c r="E195" s="1">
        <f>100224714.57-E194</f>
        <v>-308446.450000003</v>
      </c>
    </row>
  </sheetData>
  <sheetProtection/>
  <mergeCells count="2">
    <mergeCell ref="A2:E2"/>
    <mergeCell ref="A4:E4"/>
  </mergeCell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74" r:id="rId1"/>
  <rowBreaks count="3" manualBreakCount="3">
    <brk id="42" max="255" man="1"/>
    <brk id="95" max="4" man="1"/>
    <brk id="144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71"/>
  <sheetViews>
    <sheetView view="pageBreakPreview" zoomScaleNormal="140" zoomScaleSheetLayoutView="100" zoomScalePageLayoutView="0" workbookViewId="0" topLeftCell="A1">
      <selection activeCell="F1" sqref="F1:I2"/>
    </sheetView>
  </sheetViews>
  <sheetFormatPr defaultColWidth="9.140625" defaultRowHeight="12.75"/>
  <cols>
    <col min="1" max="1" width="5.7109375" style="147" bestFit="1" customWidth="1"/>
    <col min="2" max="2" width="7.421875" style="147" customWidth="1"/>
    <col min="3" max="3" width="13.57421875" style="161" customWidth="1"/>
    <col min="4" max="4" width="4.00390625" style="147" bestFit="1" customWidth="1"/>
    <col min="5" max="5" width="118.57421875" style="147" bestFit="1" customWidth="1"/>
    <col min="6" max="6" width="23.28125" style="162" bestFit="1" customWidth="1"/>
    <col min="7" max="7" width="13.140625" style="147" bestFit="1" customWidth="1"/>
    <col min="8" max="8" width="12.7109375" style="147" bestFit="1" customWidth="1"/>
    <col min="9" max="9" width="13.421875" style="147" bestFit="1" customWidth="1"/>
    <col min="10" max="10" width="12.28125" style="147" bestFit="1" customWidth="1"/>
    <col min="11" max="11" width="12.7109375" style="148" bestFit="1" customWidth="1"/>
    <col min="12" max="12" width="11.7109375" style="148" bestFit="1" customWidth="1"/>
    <col min="13" max="13" width="10.8515625" style="147" bestFit="1" customWidth="1"/>
    <col min="14" max="16384" width="9.140625" style="147" customWidth="1"/>
  </cols>
  <sheetData>
    <row r="1" spans="6:9" ht="28.5" customHeight="1">
      <c r="F1" s="280" t="s">
        <v>94</v>
      </c>
      <c r="G1" s="280"/>
      <c r="H1" s="280"/>
      <c r="I1" s="280"/>
    </row>
    <row r="2" spans="6:9" ht="28.5" customHeight="1">
      <c r="F2" s="280"/>
      <c r="G2" s="280"/>
      <c r="H2" s="280"/>
      <c r="I2" s="280"/>
    </row>
    <row r="3" spans="1:9" ht="15">
      <c r="A3" s="163"/>
      <c r="B3" s="282" t="s">
        <v>383</v>
      </c>
      <c r="C3" s="282"/>
      <c r="D3" s="282"/>
      <c r="E3" s="282"/>
      <c r="F3" s="282"/>
      <c r="G3" s="282"/>
      <c r="H3" s="282"/>
      <c r="I3" s="282"/>
    </row>
    <row r="4" spans="1:9" ht="15">
      <c r="A4" s="163"/>
      <c r="B4" s="282" t="s">
        <v>542</v>
      </c>
      <c r="C4" s="282"/>
      <c r="D4" s="282"/>
      <c r="E4" s="282"/>
      <c r="F4" s="282"/>
      <c r="G4" s="282"/>
      <c r="H4" s="282"/>
      <c r="I4" s="282"/>
    </row>
    <row r="5" spans="1:9" ht="15">
      <c r="A5" s="163"/>
      <c r="B5" s="282" t="s">
        <v>384</v>
      </c>
      <c r="C5" s="282"/>
      <c r="D5" s="282"/>
      <c r="E5" s="282"/>
      <c r="F5" s="282"/>
      <c r="G5" s="282"/>
      <c r="H5" s="282"/>
      <c r="I5" s="282"/>
    </row>
    <row r="6" spans="1:9" ht="12.75">
      <c r="A6" s="163"/>
      <c r="B6" s="164"/>
      <c r="C6" s="165"/>
      <c r="D6" s="164"/>
      <c r="E6" s="163"/>
      <c r="F6" s="166"/>
      <c r="G6" s="167"/>
      <c r="H6" s="167"/>
      <c r="I6" s="167"/>
    </row>
    <row r="7" spans="1:9" ht="12.75">
      <c r="A7" s="283" t="s">
        <v>385</v>
      </c>
      <c r="B7" s="283" t="s">
        <v>386</v>
      </c>
      <c r="C7" s="289" t="s">
        <v>221</v>
      </c>
      <c r="D7" s="283" t="s">
        <v>387</v>
      </c>
      <c r="E7" s="290" t="s">
        <v>220</v>
      </c>
      <c r="F7" s="287" t="s">
        <v>8</v>
      </c>
      <c r="G7" s="284">
        <v>2022</v>
      </c>
      <c r="H7" s="285"/>
      <c r="I7" s="286"/>
    </row>
    <row r="8" spans="1:9" ht="30">
      <c r="A8" s="283"/>
      <c r="B8" s="283"/>
      <c r="C8" s="289"/>
      <c r="D8" s="283"/>
      <c r="E8" s="290"/>
      <c r="F8" s="288"/>
      <c r="G8" s="168" t="s">
        <v>388</v>
      </c>
      <c r="H8" s="81" t="s">
        <v>389</v>
      </c>
      <c r="I8" s="153" t="s">
        <v>390</v>
      </c>
    </row>
    <row r="9" spans="1:9" ht="12.75">
      <c r="A9" s="169">
        <v>1</v>
      </c>
      <c r="B9" s="81">
        <v>2</v>
      </c>
      <c r="C9" s="153">
        <v>3</v>
      </c>
      <c r="D9" s="81">
        <v>4</v>
      </c>
      <c r="E9" s="81">
        <v>5</v>
      </c>
      <c r="F9" s="80"/>
      <c r="G9" s="153"/>
      <c r="H9" s="81"/>
      <c r="I9" s="153"/>
    </row>
    <row r="10" spans="1:9" ht="12.75">
      <c r="A10" s="77" t="s">
        <v>391</v>
      </c>
      <c r="B10" s="291" t="s">
        <v>392</v>
      </c>
      <c r="C10" s="292"/>
      <c r="D10" s="292"/>
      <c r="E10" s="293"/>
      <c r="F10" s="209"/>
      <c r="G10" s="170"/>
      <c r="H10" s="149"/>
      <c r="I10" s="170"/>
    </row>
    <row r="11" spans="1:13" ht="15">
      <c r="A11" s="77" t="s">
        <v>391</v>
      </c>
      <c r="B11" s="171" t="s">
        <v>173</v>
      </c>
      <c r="C11" s="172"/>
      <c r="D11" s="171"/>
      <c r="E11" s="151" t="s">
        <v>30</v>
      </c>
      <c r="F11" s="173">
        <f>F12+F15+F30+F38+F41</f>
        <v>10972745.77</v>
      </c>
      <c r="G11" s="156">
        <f>G12+G15+G30+G38+G41</f>
        <v>0</v>
      </c>
      <c r="H11" s="156">
        <f>H12+H15+H30+H35+H38+H41</f>
        <v>10972745.77</v>
      </c>
      <c r="I11" s="156">
        <f>I12+I15+I30+I35+I38+I41</f>
        <v>10972745.77</v>
      </c>
      <c r="M11" s="148"/>
    </row>
    <row r="12" spans="1:13" ht="15">
      <c r="A12" s="77" t="s">
        <v>391</v>
      </c>
      <c r="B12" s="174" t="s">
        <v>174</v>
      </c>
      <c r="C12" s="175"/>
      <c r="D12" s="176"/>
      <c r="E12" s="150" t="s">
        <v>393</v>
      </c>
      <c r="F12" s="173">
        <f>I12</f>
        <v>1103300.01</v>
      </c>
      <c r="G12" s="156"/>
      <c r="H12" s="156">
        <f>H13</f>
        <v>1103300.01</v>
      </c>
      <c r="I12" s="156">
        <f>I13</f>
        <v>1103300.01</v>
      </c>
      <c r="M12" s="148"/>
    </row>
    <row r="13" spans="1:9" ht="12.75">
      <c r="A13" s="77" t="s">
        <v>391</v>
      </c>
      <c r="B13" s="77" t="s">
        <v>174</v>
      </c>
      <c r="C13" s="153" t="s">
        <v>394</v>
      </c>
      <c r="D13" s="81"/>
      <c r="E13" s="150" t="s">
        <v>356</v>
      </c>
      <c r="F13" s="80"/>
      <c r="G13" s="80"/>
      <c r="H13" s="80">
        <f>H14</f>
        <v>1103300.01</v>
      </c>
      <c r="I13" s="80">
        <f>I14</f>
        <v>1103300.01</v>
      </c>
    </row>
    <row r="14" spans="1:9" ht="26.25">
      <c r="A14" s="77" t="s">
        <v>391</v>
      </c>
      <c r="B14" s="77" t="s">
        <v>174</v>
      </c>
      <c r="C14" s="153" t="s">
        <v>394</v>
      </c>
      <c r="D14" s="81">
        <v>100</v>
      </c>
      <c r="E14" s="150" t="s">
        <v>395</v>
      </c>
      <c r="F14" s="144"/>
      <c r="G14" s="80"/>
      <c r="H14" s="80">
        <v>1103300.01</v>
      </c>
      <c r="I14" s="80">
        <f>SUM(G14+H14)</f>
        <v>1103300.01</v>
      </c>
    </row>
    <row r="15" spans="1:9" ht="26.25">
      <c r="A15" s="77" t="s">
        <v>391</v>
      </c>
      <c r="B15" s="177" t="s">
        <v>175</v>
      </c>
      <c r="C15" s="153"/>
      <c r="D15" s="81"/>
      <c r="E15" s="150" t="s">
        <v>396</v>
      </c>
      <c r="F15" s="173">
        <f>I15</f>
        <v>7655633.839999999</v>
      </c>
      <c r="G15" s="80"/>
      <c r="H15" s="156">
        <f>H16</f>
        <v>7655633.839999999</v>
      </c>
      <c r="I15" s="156">
        <f>I16</f>
        <v>7655633.839999999</v>
      </c>
    </row>
    <row r="16" spans="1:9" ht="26.25">
      <c r="A16" s="77" t="s">
        <v>391</v>
      </c>
      <c r="B16" s="78" t="s">
        <v>175</v>
      </c>
      <c r="C16" s="153" t="s">
        <v>397</v>
      </c>
      <c r="D16" s="81"/>
      <c r="E16" s="150" t="s">
        <v>398</v>
      </c>
      <c r="F16" s="144"/>
      <c r="G16" s="80"/>
      <c r="H16" s="80">
        <f>H17+H18+H24</f>
        <v>7655633.839999999</v>
      </c>
      <c r="I16" s="80">
        <f>I17+I18+I24</f>
        <v>7655633.839999999</v>
      </c>
    </row>
    <row r="17" spans="1:9" ht="26.25">
      <c r="A17" s="77" t="s">
        <v>391</v>
      </c>
      <c r="B17" s="78" t="s">
        <v>175</v>
      </c>
      <c r="C17" s="153" t="s">
        <v>397</v>
      </c>
      <c r="D17" s="81">
        <v>100</v>
      </c>
      <c r="E17" s="150" t="s">
        <v>395</v>
      </c>
      <c r="F17" s="144"/>
      <c r="G17" s="80"/>
      <c r="H17" s="80">
        <f>6485723.56+508477.06</f>
        <v>6994200.619999999</v>
      </c>
      <c r="I17" s="80">
        <f>SUM(G17+H17)</f>
        <v>6994200.619999999</v>
      </c>
    </row>
    <row r="18" spans="1:9" ht="12.75">
      <c r="A18" s="77" t="s">
        <v>391</v>
      </c>
      <c r="B18" s="78" t="s">
        <v>175</v>
      </c>
      <c r="C18" s="153" t="s">
        <v>397</v>
      </c>
      <c r="D18" s="81">
        <v>200</v>
      </c>
      <c r="E18" s="150" t="s">
        <v>319</v>
      </c>
      <c r="F18" s="144"/>
      <c r="G18" s="80"/>
      <c r="H18" s="80">
        <f>SUM(F19:F23)</f>
        <v>149785.22</v>
      </c>
      <c r="I18" s="80">
        <f>SUM(G18+H18)</f>
        <v>149785.22</v>
      </c>
    </row>
    <row r="19" spans="1:9" ht="12.75" hidden="1">
      <c r="A19" s="257" t="s">
        <v>543</v>
      </c>
      <c r="B19" s="257"/>
      <c r="C19" s="257"/>
      <c r="D19" s="257"/>
      <c r="E19" s="149" t="s">
        <v>544</v>
      </c>
      <c r="F19" s="144">
        <v>1785.22</v>
      </c>
      <c r="G19" s="80"/>
      <c r="H19" s="80"/>
      <c r="I19" s="80"/>
    </row>
    <row r="20" spans="1:9" ht="12.75" hidden="1">
      <c r="A20" s="257"/>
      <c r="B20" s="257"/>
      <c r="C20" s="257"/>
      <c r="D20" s="257"/>
      <c r="E20" s="149" t="s">
        <v>545</v>
      </c>
      <c r="F20" s="144">
        <v>27000</v>
      </c>
      <c r="G20" s="80"/>
      <c r="H20" s="80"/>
      <c r="I20" s="80"/>
    </row>
    <row r="21" spans="1:9" ht="12.75" hidden="1">
      <c r="A21" s="257"/>
      <c r="B21" s="257"/>
      <c r="C21" s="257"/>
      <c r="D21" s="257"/>
      <c r="E21" s="149" t="s">
        <v>161</v>
      </c>
      <c r="F21" s="144">
        <v>5000</v>
      </c>
      <c r="G21" s="80"/>
      <c r="H21" s="80"/>
      <c r="I21" s="80"/>
    </row>
    <row r="22" spans="1:9" ht="12.75" hidden="1">
      <c r="A22" s="257"/>
      <c r="B22" s="257"/>
      <c r="C22" s="257"/>
      <c r="D22" s="257"/>
      <c r="E22" s="149" t="s">
        <v>658</v>
      </c>
      <c r="F22" s="144">
        <v>16000</v>
      </c>
      <c r="G22" s="80"/>
      <c r="H22" s="80"/>
      <c r="I22" s="80"/>
    </row>
    <row r="23" spans="1:9" ht="12.75" hidden="1">
      <c r="A23" s="257"/>
      <c r="B23" s="257"/>
      <c r="C23" s="257"/>
      <c r="D23" s="257"/>
      <c r="E23" s="149" t="s">
        <v>587</v>
      </c>
      <c r="F23" s="144">
        <v>100000</v>
      </c>
      <c r="G23" s="80"/>
      <c r="H23" s="80"/>
      <c r="I23" s="80"/>
    </row>
    <row r="24" spans="1:9" ht="12.75">
      <c r="A24" s="77" t="s">
        <v>391</v>
      </c>
      <c r="B24" s="77" t="s">
        <v>175</v>
      </c>
      <c r="C24" s="153" t="s">
        <v>397</v>
      </c>
      <c r="D24" s="81">
        <v>800</v>
      </c>
      <c r="E24" s="150" t="s">
        <v>274</v>
      </c>
      <c r="F24" s="144"/>
      <c r="G24" s="80"/>
      <c r="H24" s="80">
        <f>SUM(F25:F29)</f>
        <v>511648</v>
      </c>
      <c r="I24" s="80">
        <f>SUM(G24+H24)</f>
        <v>511648</v>
      </c>
    </row>
    <row r="25" spans="1:9" ht="12.75" hidden="1">
      <c r="A25" s="257" t="s">
        <v>568</v>
      </c>
      <c r="B25" s="257"/>
      <c r="C25" s="257"/>
      <c r="D25" s="257"/>
      <c r="E25" s="149" t="s">
        <v>564</v>
      </c>
      <c r="F25" s="144">
        <v>44648</v>
      </c>
      <c r="G25" s="80"/>
      <c r="H25" s="80"/>
      <c r="I25" s="80"/>
    </row>
    <row r="26" spans="1:9" ht="12.75" hidden="1">
      <c r="A26" s="257"/>
      <c r="B26" s="257"/>
      <c r="C26" s="257"/>
      <c r="D26" s="257"/>
      <c r="E26" s="149" t="s">
        <v>498</v>
      </c>
      <c r="F26" s="144">
        <f>305000+80000</f>
        <v>385000</v>
      </c>
      <c r="G26" s="80"/>
      <c r="H26" s="80"/>
      <c r="I26" s="80"/>
    </row>
    <row r="27" spans="1:9" ht="12.75" hidden="1">
      <c r="A27" s="257"/>
      <c r="B27" s="257"/>
      <c r="C27" s="257"/>
      <c r="D27" s="257"/>
      <c r="E27" s="149" t="s">
        <v>566</v>
      </c>
      <c r="F27" s="144">
        <v>2000</v>
      </c>
      <c r="G27" s="149"/>
      <c r="H27" s="80"/>
      <c r="I27" s="80"/>
    </row>
    <row r="28" spans="1:9" ht="12.75" hidden="1">
      <c r="A28" s="257"/>
      <c r="B28" s="257"/>
      <c r="C28" s="257"/>
      <c r="D28" s="257"/>
      <c r="E28" s="149" t="s">
        <v>565</v>
      </c>
      <c r="F28" s="144">
        <v>70000</v>
      </c>
      <c r="G28" s="80"/>
      <c r="H28" s="80"/>
      <c r="I28" s="80"/>
    </row>
    <row r="29" spans="1:9" ht="12.75" hidden="1">
      <c r="A29" s="257"/>
      <c r="B29" s="257"/>
      <c r="C29" s="257"/>
      <c r="D29" s="257"/>
      <c r="E29" s="149" t="s">
        <v>567</v>
      </c>
      <c r="F29" s="144">
        <v>10000</v>
      </c>
      <c r="G29" s="80"/>
      <c r="H29" s="80"/>
      <c r="I29" s="80"/>
    </row>
    <row r="30" spans="1:9" ht="12.75">
      <c r="A30" s="77" t="s">
        <v>391</v>
      </c>
      <c r="B30" s="174" t="s">
        <v>176</v>
      </c>
      <c r="C30" s="153"/>
      <c r="D30" s="81"/>
      <c r="E30" s="150" t="s">
        <v>177</v>
      </c>
      <c r="F30" s="156">
        <f>I30</f>
        <v>175927.88</v>
      </c>
      <c r="G30" s="80"/>
      <c r="H30" s="156">
        <f>H31+H33</f>
        <v>175927.88</v>
      </c>
      <c r="I30" s="156">
        <f>H30</f>
        <v>175927.88</v>
      </c>
    </row>
    <row r="31" spans="1:9" ht="26.25">
      <c r="A31" s="77" t="s">
        <v>391</v>
      </c>
      <c r="B31" s="77" t="s">
        <v>176</v>
      </c>
      <c r="C31" s="153" t="s">
        <v>399</v>
      </c>
      <c r="D31" s="81"/>
      <c r="E31" s="150" t="s">
        <v>360</v>
      </c>
      <c r="F31" s="144"/>
      <c r="G31" s="80"/>
      <c r="H31" s="80">
        <f>H32</f>
        <v>50100</v>
      </c>
      <c r="I31" s="80">
        <f>I32</f>
        <v>50100</v>
      </c>
    </row>
    <row r="32" spans="1:9" ht="12.75">
      <c r="A32" s="77" t="s">
        <v>391</v>
      </c>
      <c r="B32" s="78" t="s">
        <v>176</v>
      </c>
      <c r="C32" s="153" t="s">
        <v>399</v>
      </c>
      <c r="D32" s="81">
        <v>500</v>
      </c>
      <c r="E32" s="150" t="s">
        <v>273</v>
      </c>
      <c r="F32" s="80"/>
      <c r="G32" s="80"/>
      <c r="H32" s="80">
        <v>50100</v>
      </c>
      <c r="I32" s="80">
        <f>SUM(G32+H32)</f>
        <v>50100</v>
      </c>
    </row>
    <row r="33" spans="1:9" ht="26.25">
      <c r="A33" s="77" t="s">
        <v>391</v>
      </c>
      <c r="B33" s="78" t="s">
        <v>176</v>
      </c>
      <c r="C33" s="153" t="s">
        <v>371</v>
      </c>
      <c r="D33" s="81"/>
      <c r="E33" s="150" t="s">
        <v>370</v>
      </c>
      <c r="F33" s="80"/>
      <c r="G33" s="80"/>
      <c r="H33" s="80">
        <f>H34</f>
        <v>125827.88</v>
      </c>
      <c r="I33" s="80">
        <f>H33</f>
        <v>125827.88</v>
      </c>
    </row>
    <row r="34" spans="1:9" ht="12.75">
      <c r="A34" s="77" t="s">
        <v>391</v>
      </c>
      <c r="B34" s="78" t="s">
        <v>176</v>
      </c>
      <c r="C34" s="153" t="s">
        <v>371</v>
      </c>
      <c r="D34" s="81">
        <v>500</v>
      </c>
      <c r="E34" s="150" t="s">
        <v>273</v>
      </c>
      <c r="F34" s="80"/>
      <c r="G34" s="80"/>
      <c r="H34" s="80">
        <v>125827.88</v>
      </c>
      <c r="I34" s="80">
        <f>H34</f>
        <v>125827.88</v>
      </c>
    </row>
    <row r="35" spans="1:9" ht="12.75">
      <c r="A35" s="77" t="s">
        <v>391</v>
      </c>
      <c r="B35" s="177" t="s">
        <v>178</v>
      </c>
      <c r="C35" s="153"/>
      <c r="D35" s="81"/>
      <c r="E35" s="150" t="s">
        <v>179</v>
      </c>
      <c r="F35" s="80"/>
      <c r="G35" s="80"/>
      <c r="H35" s="156">
        <f>H36</f>
        <v>0</v>
      </c>
      <c r="I35" s="156">
        <f>I36</f>
        <v>0</v>
      </c>
    </row>
    <row r="36" spans="1:9" ht="12.75">
      <c r="A36" s="77" t="s">
        <v>391</v>
      </c>
      <c r="B36" s="78" t="s">
        <v>178</v>
      </c>
      <c r="C36" s="153" t="s">
        <v>369</v>
      </c>
      <c r="D36" s="81"/>
      <c r="E36" s="150" t="s">
        <v>368</v>
      </c>
      <c r="F36" s="80"/>
      <c r="G36" s="80"/>
      <c r="H36" s="80">
        <f>H37</f>
        <v>0</v>
      </c>
      <c r="I36" s="80">
        <f>I37</f>
        <v>0</v>
      </c>
    </row>
    <row r="37" spans="1:9" ht="12.75">
      <c r="A37" s="77" t="s">
        <v>391</v>
      </c>
      <c r="B37" s="78" t="s">
        <v>178</v>
      </c>
      <c r="C37" s="153" t="s">
        <v>369</v>
      </c>
      <c r="D37" s="81">
        <v>200</v>
      </c>
      <c r="E37" s="150" t="s">
        <v>319</v>
      </c>
      <c r="F37" s="144"/>
      <c r="G37" s="80"/>
      <c r="H37" s="80">
        <v>0</v>
      </c>
      <c r="I37" s="80">
        <f>H37</f>
        <v>0</v>
      </c>
    </row>
    <row r="38" spans="1:9" ht="15">
      <c r="A38" s="77" t="s">
        <v>391</v>
      </c>
      <c r="B38" s="174" t="s">
        <v>180</v>
      </c>
      <c r="C38" s="153"/>
      <c r="D38" s="81"/>
      <c r="E38" s="150" t="s">
        <v>400</v>
      </c>
      <c r="F38" s="173">
        <f>I38</f>
        <v>155000</v>
      </c>
      <c r="G38" s="80"/>
      <c r="H38" s="156">
        <f>H39</f>
        <v>155000</v>
      </c>
      <c r="I38" s="156">
        <f>I39</f>
        <v>155000</v>
      </c>
    </row>
    <row r="39" spans="1:9" ht="12.75">
      <c r="A39" s="77" t="s">
        <v>391</v>
      </c>
      <c r="B39" s="77" t="s">
        <v>180</v>
      </c>
      <c r="C39" s="153" t="s">
        <v>401</v>
      </c>
      <c r="D39" s="81"/>
      <c r="E39" s="150" t="s">
        <v>402</v>
      </c>
      <c r="F39" s="144"/>
      <c r="G39" s="80"/>
      <c r="H39" s="80">
        <f>H40</f>
        <v>155000</v>
      </c>
      <c r="I39" s="80">
        <f>I40</f>
        <v>155000</v>
      </c>
    </row>
    <row r="40" spans="1:9" ht="12.75">
      <c r="A40" s="77" t="s">
        <v>391</v>
      </c>
      <c r="B40" s="77" t="s">
        <v>180</v>
      </c>
      <c r="C40" s="153" t="s">
        <v>401</v>
      </c>
      <c r="D40" s="81">
        <v>800</v>
      </c>
      <c r="E40" s="150" t="s">
        <v>274</v>
      </c>
      <c r="F40" s="144"/>
      <c r="G40" s="80"/>
      <c r="H40" s="80">
        <v>155000</v>
      </c>
      <c r="I40" s="80">
        <f>SUM(G40+H40)</f>
        <v>155000</v>
      </c>
    </row>
    <row r="41" spans="1:9" ht="15">
      <c r="A41" s="77" t="s">
        <v>391</v>
      </c>
      <c r="B41" s="174" t="s">
        <v>181</v>
      </c>
      <c r="C41" s="178"/>
      <c r="D41" s="178"/>
      <c r="E41" s="150" t="s">
        <v>182</v>
      </c>
      <c r="F41" s="173">
        <f>I41</f>
        <v>1882884.04</v>
      </c>
      <c r="G41" s="80"/>
      <c r="H41" s="156">
        <f>H42+H49+H59+H64+H73+H75</f>
        <v>1882884.04</v>
      </c>
      <c r="I41" s="156">
        <f>I42+I49+I59+I64+I73+I75</f>
        <v>1882884.04</v>
      </c>
    </row>
    <row r="42" spans="1:9" ht="12.75">
      <c r="A42" s="77" t="s">
        <v>391</v>
      </c>
      <c r="B42" s="77" t="s">
        <v>181</v>
      </c>
      <c r="C42" s="153" t="s">
        <v>403</v>
      </c>
      <c r="D42" s="81"/>
      <c r="E42" s="150" t="s">
        <v>404</v>
      </c>
      <c r="F42" s="144"/>
      <c r="G42" s="80"/>
      <c r="H42" s="80">
        <f>H43</f>
        <v>618016</v>
      </c>
      <c r="I42" s="80">
        <f>I43</f>
        <v>618016</v>
      </c>
    </row>
    <row r="43" spans="1:9" ht="12.75">
      <c r="A43" s="77" t="s">
        <v>391</v>
      </c>
      <c r="B43" s="77" t="s">
        <v>181</v>
      </c>
      <c r="C43" s="153" t="s">
        <v>403</v>
      </c>
      <c r="D43" s="81">
        <v>200</v>
      </c>
      <c r="E43" s="150" t="s">
        <v>319</v>
      </c>
      <c r="F43" s="144"/>
      <c r="G43" s="144"/>
      <c r="H43" s="144">
        <f>SUM(F44:F48)</f>
        <v>618016</v>
      </c>
      <c r="I43" s="80">
        <f>SUM(G43+H43)</f>
        <v>618016</v>
      </c>
    </row>
    <row r="44" spans="1:9" ht="12.75" hidden="1">
      <c r="A44" s="77"/>
      <c r="B44" s="77"/>
      <c r="C44" s="153"/>
      <c r="D44" s="81"/>
      <c r="E44" s="149" t="s">
        <v>562</v>
      </c>
      <c r="F44" s="146">
        <v>300000</v>
      </c>
      <c r="G44" s="144"/>
      <c r="H44" s="144"/>
      <c r="I44" s="144"/>
    </row>
    <row r="45" spans="1:9" ht="12.75" hidden="1">
      <c r="A45" s="77"/>
      <c r="B45" s="77"/>
      <c r="C45" s="153"/>
      <c r="D45" s="81"/>
      <c r="E45" s="149" t="s">
        <v>632</v>
      </c>
      <c r="F45" s="146">
        <v>30000</v>
      </c>
      <c r="G45" s="144"/>
      <c r="H45" s="144"/>
      <c r="I45" s="144"/>
    </row>
    <row r="46" spans="1:9" ht="12.75" hidden="1">
      <c r="A46" s="77"/>
      <c r="B46" s="77"/>
      <c r="C46" s="153"/>
      <c r="D46" s="81"/>
      <c r="E46" s="149" t="s">
        <v>553</v>
      </c>
      <c r="F46" s="144">
        <v>30000</v>
      </c>
      <c r="G46" s="144"/>
      <c r="H46" s="144"/>
      <c r="I46" s="144"/>
    </row>
    <row r="47" spans="1:9" ht="12.75" hidden="1">
      <c r="A47" s="77"/>
      <c r="B47" s="77"/>
      <c r="C47" s="153"/>
      <c r="D47" s="81"/>
      <c r="E47" s="149" t="s">
        <v>558</v>
      </c>
      <c r="F47" s="144">
        <f>7000*22</f>
        <v>154000</v>
      </c>
      <c r="G47" s="144"/>
      <c r="H47" s="144"/>
      <c r="I47" s="144"/>
    </row>
    <row r="48" spans="1:9" ht="12.75" hidden="1">
      <c r="A48" s="77"/>
      <c r="B48" s="77"/>
      <c r="C48" s="153"/>
      <c r="D48" s="81"/>
      <c r="E48" s="179" t="s">
        <v>561</v>
      </c>
      <c r="F48" s="146">
        <f>8668*12</f>
        <v>104016</v>
      </c>
      <c r="G48" s="144"/>
      <c r="H48" s="144"/>
      <c r="I48" s="144"/>
    </row>
    <row r="49" spans="1:9" ht="26.25">
      <c r="A49" s="77" t="s">
        <v>391</v>
      </c>
      <c r="B49" s="77" t="s">
        <v>181</v>
      </c>
      <c r="C49" s="153" t="s">
        <v>405</v>
      </c>
      <c r="D49" s="81"/>
      <c r="E49" s="150" t="s">
        <v>338</v>
      </c>
      <c r="F49" s="144"/>
      <c r="G49" s="144"/>
      <c r="H49" s="144">
        <f>H50</f>
        <v>402721</v>
      </c>
      <c r="I49" s="80">
        <f>SUM(G49+H49)</f>
        <v>402721</v>
      </c>
    </row>
    <row r="50" spans="1:9" ht="12.75">
      <c r="A50" s="77" t="s">
        <v>391</v>
      </c>
      <c r="B50" s="77" t="s">
        <v>181</v>
      </c>
      <c r="C50" s="153" t="s">
        <v>405</v>
      </c>
      <c r="D50" s="81">
        <v>200</v>
      </c>
      <c r="E50" s="150" t="s">
        <v>319</v>
      </c>
      <c r="F50" s="144"/>
      <c r="G50" s="144"/>
      <c r="H50" s="144">
        <v>402721</v>
      </c>
      <c r="I50" s="80">
        <f>G50+H50</f>
        <v>402721</v>
      </c>
    </row>
    <row r="51" spans="1:9" ht="12.75" customHeight="1" hidden="1">
      <c r="A51" s="281" t="s">
        <v>547</v>
      </c>
      <c r="B51" s="249"/>
      <c r="C51" s="249"/>
      <c r="D51" s="250"/>
      <c r="E51" s="149" t="s">
        <v>554</v>
      </c>
      <c r="F51" s="144">
        <v>7000</v>
      </c>
      <c r="G51" s="80"/>
      <c r="H51" s="80"/>
      <c r="I51" s="80"/>
    </row>
    <row r="52" spans="1:9" ht="12.75" hidden="1">
      <c r="A52" s="251"/>
      <c r="B52" s="252"/>
      <c r="C52" s="252"/>
      <c r="D52" s="253"/>
      <c r="E52" s="149" t="s">
        <v>559</v>
      </c>
      <c r="F52" s="144">
        <v>32000</v>
      </c>
      <c r="G52" s="80"/>
      <c r="H52" s="80"/>
      <c r="I52" s="80"/>
    </row>
    <row r="53" spans="1:9" ht="12.75" hidden="1">
      <c r="A53" s="251"/>
      <c r="B53" s="252"/>
      <c r="C53" s="252"/>
      <c r="D53" s="253"/>
      <c r="E53" s="149" t="s">
        <v>555</v>
      </c>
      <c r="F53" s="144">
        <v>6000</v>
      </c>
      <c r="G53" s="80"/>
      <c r="H53" s="80"/>
      <c r="I53" s="80"/>
    </row>
    <row r="54" spans="1:9" ht="12.75" hidden="1">
      <c r="A54" s="251"/>
      <c r="B54" s="252"/>
      <c r="C54" s="252"/>
      <c r="D54" s="253"/>
      <c r="E54" s="149" t="s">
        <v>556</v>
      </c>
      <c r="F54" s="144">
        <v>13000</v>
      </c>
      <c r="G54" s="80"/>
      <c r="H54" s="80"/>
      <c r="I54" s="80"/>
    </row>
    <row r="55" spans="1:9" ht="12.75" hidden="1">
      <c r="A55" s="251"/>
      <c r="B55" s="252"/>
      <c r="C55" s="252"/>
      <c r="D55" s="253"/>
      <c r="E55" s="149" t="s">
        <v>560</v>
      </c>
      <c r="F55" s="144">
        <v>100000</v>
      </c>
      <c r="G55" s="80"/>
      <c r="H55" s="80"/>
      <c r="I55" s="80"/>
    </row>
    <row r="56" spans="1:9" ht="12.75" hidden="1">
      <c r="A56" s="251"/>
      <c r="B56" s="252"/>
      <c r="C56" s="252"/>
      <c r="D56" s="253"/>
      <c r="E56" s="149" t="s">
        <v>557</v>
      </c>
      <c r="F56" s="144">
        <v>25000</v>
      </c>
      <c r="G56" s="80"/>
      <c r="H56" s="80"/>
      <c r="I56" s="80"/>
    </row>
    <row r="57" spans="1:9" ht="12.75" hidden="1">
      <c r="A57" s="251"/>
      <c r="B57" s="252"/>
      <c r="C57" s="252"/>
      <c r="D57" s="253"/>
      <c r="E57" s="179" t="s">
        <v>625</v>
      </c>
      <c r="F57" s="146">
        <v>15000</v>
      </c>
      <c r="G57" s="144"/>
      <c r="H57" s="144"/>
      <c r="I57" s="144"/>
    </row>
    <row r="58" spans="1:9" ht="12.75" hidden="1">
      <c r="A58" s="254"/>
      <c r="B58" s="255"/>
      <c r="C58" s="255"/>
      <c r="D58" s="256"/>
      <c r="E58" s="179" t="s">
        <v>659</v>
      </c>
      <c r="F58" s="146">
        <v>81000</v>
      </c>
      <c r="G58" s="144"/>
      <c r="H58" s="144"/>
      <c r="I58" s="144"/>
    </row>
    <row r="59" spans="1:9" ht="12.75">
      <c r="A59" s="77" t="s">
        <v>391</v>
      </c>
      <c r="B59" s="77" t="s">
        <v>181</v>
      </c>
      <c r="C59" s="153" t="s">
        <v>406</v>
      </c>
      <c r="D59" s="81"/>
      <c r="E59" s="150" t="s">
        <v>342</v>
      </c>
      <c r="F59" s="144"/>
      <c r="G59" s="80"/>
      <c r="H59" s="80">
        <f>H60</f>
        <v>43500</v>
      </c>
      <c r="I59" s="80">
        <f>I60</f>
        <v>43500</v>
      </c>
    </row>
    <row r="60" spans="1:9" ht="12.75">
      <c r="A60" s="77" t="s">
        <v>391</v>
      </c>
      <c r="B60" s="77" t="s">
        <v>181</v>
      </c>
      <c r="C60" s="153" t="s">
        <v>406</v>
      </c>
      <c r="D60" s="81">
        <v>200</v>
      </c>
      <c r="E60" s="150" t="s">
        <v>319</v>
      </c>
      <c r="F60" s="144"/>
      <c r="G60" s="80"/>
      <c r="H60" s="80">
        <v>43500</v>
      </c>
      <c r="I60" s="80">
        <f>H60</f>
        <v>43500</v>
      </c>
    </row>
    <row r="61" spans="1:9" ht="12.75" hidden="1">
      <c r="A61" s="281" t="s">
        <v>547</v>
      </c>
      <c r="B61" s="249"/>
      <c r="C61" s="249"/>
      <c r="D61" s="250"/>
      <c r="E61" s="149" t="s">
        <v>646</v>
      </c>
      <c r="F61" s="144">
        <v>0</v>
      </c>
      <c r="G61" s="80"/>
      <c r="H61" s="80"/>
      <c r="I61" s="80"/>
    </row>
    <row r="62" spans="1:9" ht="12.75" hidden="1">
      <c r="A62" s="251"/>
      <c r="B62" s="252"/>
      <c r="C62" s="252"/>
      <c r="D62" s="253"/>
      <c r="E62" s="149" t="s">
        <v>650</v>
      </c>
      <c r="F62" s="144">
        <v>3500</v>
      </c>
      <c r="G62" s="80"/>
      <c r="H62" s="80"/>
      <c r="I62" s="80"/>
    </row>
    <row r="63" spans="1:9" ht="12.75" hidden="1">
      <c r="A63" s="254"/>
      <c r="B63" s="255"/>
      <c r="C63" s="255"/>
      <c r="D63" s="256"/>
      <c r="E63" s="149" t="s">
        <v>563</v>
      </c>
      <c r="F63" s="144">
        <v>40000</v>
      </c>
      <c r="G63" s="80"/>
      <c r="H63" s="80"/>
      <c r="I63" s="80"/>
    </row>
    <row r="64" spans="1:9" ht="12.75">
      <c r="A64" s="77" t="s">
        <v>391</v>
      </c>
      <c r="B64" s="77" t="s">
        <v>181</v>
      </c>
      <c r="C64" s="180" t="s">
        <v>466</v>
      </c>
      <c r="D64" s="81"/>
      <c r="E64" s="150" t="s">
        <v>450</v>
      </c>
      <c r="F64" s="144"/>
      <c r="G64" s="80"/>
      <c r="H64" s="80">
        <f>H65</f>
        <v>667870</v>
      </c>
      <c r="I64" s="80">
        <f>H64</f>
        <v>667870</v>
      </c>
    </row>
    <row r="65" spans="1:9" ht="12.75">
      <c r="A65" s="77" t="s">
        <v>391</v>
      </c>
      <c r="B65" s="77" t="s">
        <v>181</v>
      </c>
      <c r="C65" s="180" t="s">
        <v>466</v>
      </c>
      <c r="D65" s="81">
        <v>200</v>
      </c>
      <c r="E65" s="150" t="s">
        <v>319</v>
      </c>
      <c r="F65" s="144">
        <f>SUM(F66:F72)</f>
        <v>661870</v>
      </c>
      <c r="G65" s="80"/>
      <c r="H65" s="80">
        <v>667870</v>
      </c>
      <c r="I65" s="80">
        <f>H65</f>
        <v>667870</v>
      </c>
    </row>
    <row r="66" spans="1:9" ht="12.75" customHeight="1" hidden="1">
      <c r="A66" s="281" t="s">
        <v>547</v>
      </c>
      <c r="B66" s="249"/>
      <c r="C66" s="249"/>
      <c r="D66" s="250"/>
      <c r="E66" s="149" t="s">
        <v>546</v>
      </c>
      <c r="F66" s="144">
        <v>11000</v>
      </c>
      <c r="G66" s="80"/>
      <c r="H66" s="80"/>
      <c r="I66" s="80"/>
    </row>
    <row r="67" spans="1:9" ht="12.75" hidden="1">
      <c r="A67" s="251"/>
      <c r="B67" s="252"/>
      <c r="C67" s="252"/>
      <c r="D67" s="253"/>
      <c r="E67" s="149" t="s">
        <v>548</v>
      </c>
      <c r="F67" s="144">
        <v>15000</v>
      </c>
      <c r="G67" s="80"/>
      <c r="H67" s="80"/>
      <c r="I67" s="80"/>
    </row>
    <row r="68" spans="1:9" ht="12.75" hidden="1">
      <c r="A68" s="251"/>
      <c r="B68" s="252"/>
      <c r="C68" s="252"/>
      <c r="D68" s="253"/>
      <c r="E68" s="149" t="s">
        <v>549</v>
      </c>
      <c r="F68" s="144">
        <v>26000</v>
      </c>
      <c r="G68" s="80"/>
      <c r="H68" s="80"/>
      <c r="I68" s="80"/>
    </row>
    <row r="69" spans="1:9" ht="12.75" hidden="1">
      <c r="A69" s="251"/>
      <c r="B69" s="252"/>
      <c r="C69" s="252"/>
      <c r="D69" s="253"/>
      <c r="E69" s="149" t="s">
        <v>550</v>
      </c>
      <c r="F69" s="144">
        <v>76000</v>
      </c>
      <c r="G69" s="80"/>
      <c r="H69" s="80"/>
      <c r="I69" s="80"/>
    </row>
    <row r="70" spans="1:9" ht="12.75" hidden="1">
      <c r="A70" s="251"/>
      <c r="B70" s="252"/>
      <c r="C70" s="252"/>
      <c r="D70" s="253"/>
      <c r="E70" s="149" t="s">
        <v>551</v>
      </c>
      <c r="F70" s="144">
        <v>2500</v>
      </c>
      <c r="G70" s="80"/>
      <c r="H70" s="80"/>
      <c r="I70" s="80"/>
    </row>
    <row r="71" spans="1:9" ht="12.75" hidden="1">
      <c r="A71" s="251"/>
      <c r="B71" s="252"/>
      <c r="C71" s="252"/>
      <c r="D71" s="253"/>
      <c r="E71" s="149" t="s">
        <v>552</v>
      </c>
      <c r="F71" s="144">
        <v>370</v>
      </c>
      <c r="G71" s="80"/>
      <c r="H71" s="80"/>
      <c r="I71" s="80"/>
    </row>
    <row r="72" spans="1:9" ht="12.75" hidden="1">
      <c r="A72" s="251"/>
      <c r="B72" s="252"/>
      <c r="C72" s="252"/>
      <c r="D72" s="253"/>
      <c r="E72" s="149" t="s">
        <v>640</v>
      </c>
      <c r="F72" s="144">
        <v>531000</v>
      </c>
      <c r="G72" s="80"/>
      <c r="H72" s="80"/>
      <c r="I72" s="80"/>
    </row>
    <row r="73" spans="1:9" ht="12.75">
      <c r="A73" s="77" t="s">
        <v>391</v>
      </c>
      <c r="B73" s="77" t="s">
        <v>181</v>
      </c>
      <c r="C73" s="181" t="s">
        <v>407</v>
      </c>
      <c r="D73" s="81"/>
      <c r="E73" s="150" t="s">
        <v>374</v>
      </c>
      <c r="F73" s="144"/>
      <c r="G73" s="80"/>
      <c r="H73" s="80">
        <f>H74</f>
        <v>140777.04</v>
      </c>
      <c r="I73" s="80">
        <f>H73</f>
        <v>140777.04</v>
      </c>
    </row>
    <row r="74" spans="1:9" ht="12.75">
      <c r="A74" s="77" t="s">
        <v>391</v>
      </c>
      <c r="B74" s="77" t="s">
        <v>181</v>
      </c>
      <c r="C74" s="181" t="s">
        <v>407</v>
      </c>
      <c r="D74" s="81">
        <v>800</v>
      </c>
      <c r="E74" s="150" t="s">
        <v>274</v>
      </c>
      <c r="F74" s="144"/>
      <c r="G74" s="80"/>
      <c r="H74" s="80">
        <v>140777.04</v>
      </c>
      <c r="I74" s="80">
        <f>H74</f>
        <v>140777.04</v>
      </c>
    </row>
    <row r="75" spans="1:9" ht="12.75">
      <c r="A75" s="77" t="s">
        <v>391</v>
      </c>
      <c r="B75" s="77" t="s">
        <v>181</v>
      </c>
      <c r="C75" s="181" t="s">
        <v>470</v>
      </c>
      <c r="D75" s="81"/>
      <c r="E75" s="150" t="s">
        <v>471</v>
      </c>
      <c r="F75" s="144"/>
      <c r="G75" s="80"/>
      <c r="H75" s="80">
        <f>H76</f>
        <v>10000</v>
      </c>
      <c r="I75" s="80">
        <f>H75</f>
        <v>10000</v>
      </c>
    </row>
    <row r="76" spans="1:9" ht="12.75">
      <c r="A76" s="77" t="s">
        <v>391</v>
      </c>
      <c r="B76" s="77" t="s">
        <v>181</v>
      </c>
      <c r="C76" s="181" t="s">
        <v>470</v>
      </c>
      <c r="D76" s="81">
        <v>800</v>
      </c>
      <c r="E76" s="150" t="s">
        <v>274</v>
      </c>
      <c r="F76" s="144"/>
      <c r="G76" s="80"/>
      <c r="H76" s="80">
        <v>10000</v>
      </c>
      <c r="I76" s="80">
        <f>H76</f>
        <v>10000</v>
      </c>
    </row>
    <row r="77" spans="1:9" ht="12.75">
      <c r="A77" s="77" t="s">
        <v>391</v>
      </c>
      <c r="B77" s="174" t="s">
        <v>183</v>
      </c>
      <c r="C77" s="182"/>
      <c r="D77" s="182"/>
      <c r="E77" s="151" t="s">
        <v>184</v>
      </c>
      <c r="F77" s="156">
        <f>I77</f>
        <v>487824</v>
      </c>
      <c r="G77" s="156">
        <f>G78</f>
        <v>487824</v>
      </c>
      <c r="H77" s="156">
        <f aca="true" t="shared" si="0" ref="H77:I79">H78</f>
        <v>0</v>
      </c>
      <c r="I77" s="156">
        <f t="shared" si="0"/>
        <v>487824</v>
      </c>
    </row>
    <row r="78" spans="1:9" ht="12.75">
      <c r="A78" s="77" t="s">
        <v>391</v>
      </c>
      <c r="B78" s="77" t="s">
        <v>185</v>
      </c>
      <c r="C78" s="182"/>
      <c r="D78" s="182"/>
      <c r="E78" s="150" t="s">
        <v>186</v>
      </c>
      <c r="F78" s="80"/>
      <c r="G78" s="156">
        <f>G79+G81</f>
        <v>487824</v>
      </c>
      <c r="H78" s="156">
        <f t="shared" si="0"/>
        <v>0</v>
      </c>
      <c r="I78" s="156">
        <f>I79+I81</f>
        <v>487824</v>
      </c>
    </row>
    <row r="79" spans="1:9" ht="12.75">
      <c r="A79" s="77" t="s">
        <v>391</v>
      </c>
      <c r="B79" s="77" t="s">
        <v>185</v>
      </c>
      <c r="C79" s="153" t="s">
        <v>408</v>
      </c>
      <c r="D79" s="81"/>
      <c r="E79" s="150" t="s">
        <v>372</v>
      </c>
      <c r="F79" s="144"/>
      <c r="G79" s="80">
        <f>G80</f>
        <v>401419</v>
      </c>
      <c r="H79" s="80">
        <f t="shared" si="0"/>
        <v>0</v>
      </c>
      <c r="I79" s="80">
        <f t="shared" si="0"/>
        <v>401419</v>
      </c>
    </row>
    <row r="80" spans="1:9" ht="26.25">
      <c r="A80" s="77" t="s">
        <v>391</v>
      </c>
      <c r="B80" s="77" t="s">
        <v>185</v>
      </c>
      <c r="C80" s="153" t="s">
        <v>408</v>
      </c>
      <c r="D80" s="81">
        <v>100</v>
      </c>
      <c r="E80" s="150" t="s">
        <v>395</v>
      </c>
      <c r="F80" s="144"/>
      <c r="G80" s="80">
        <v>401419</v>
      </c>
      <c r="H80" s="80">
        <v>0</v>
      </c>
      <c r="I80" s="80">
        <f>SUM(G80+H80)</f>
        <v>401419</v>
      </c>
    </row>
    <row r="81" spans="1:9" ht="12.75">
      <c r="A81" s="77" t="s">
        <v>391</v>
      </c>
      <c r="B81" s="78" t="s">
        <v>185</v>
      </c>
      <c r="C81" s="155" t="s">
        <v>408</v>
      </c>
      <c r="D81" s="79">
        <v>200</v>
      </c>
      <c r="E81" s="150" t="s">
        <v>319</v>
      </c>
      <c r="F81" s="144"/>
      <c r="G81" s="80">
        <v>86405</v>
      </c>
      <c r="H81" s="80">
        <v>0</v>
      </c>
      <c r="I81" s="80">
        <f>G81</f>
        <v>86405</v>
      </c>
    </row>
    <row r="82" spans="1:9" ht="12.75">
      <c r="A82" s="77" t="s">
        <v>391</v>
      </c>
      <c r="B82" s="177" t="s">
        <v>409</v>
      </c>
      <c r="C82" s="183"/>
      <c r="D82" s="183"/>
      <c r="E82" s="151" t="s">
        <v>410</v>
      </c>
      <c r="F82" s="156">
        <f>F83+F91</f>
        <v>172500</v>
      </c>
      <c r="G82" s="156"/>
      <c r="H82" s="156">
        <f>H83+H91</f>
        <v>172500</v>
      </c>
      <c r="I82" s="156">
        <f>H82</f>
        <v>172500</v>
      </c>
    </row>
    <row r="83" spans="1:9" ht="12.75">
      <c r="A83" s="77" t="s">
        <v>391</v>
      </c>
      <c r="B83" s="177" t="s">
        <v>187</v>
      </c>
      <c r="C83" s="183"/>
      <c r="D83" s="183"/>
      <c r="E83" s="150" t="s">
        <v>411</v>
      </c>
      <c r="F83" s="156">
        <f>I83</f>
        <v>113500</v>
      </c>
      <c r="G83" s="156"/>
      <c r="H83" s="156">
        <f>H84</f>
        <v>113500</v>
      </c>
      <c r="I83" s="156">
        <f>H83</f>
        <v>113500</v>
      </c>
    </row>
    <row r="84" spans="1:9" ht="26.25">
      <c r="A84" s="77" t="s">
        <v>391</v>
      </c>
      <c r="B84" s="78" t="s">
        <v>187</v>
      </c>
      <c r="C84" s="184" t="s">
        <v>412</v>
      </c>
      <c r="D84" s="184"/>
      <c r="E84" s="150" t="s">
        <v>413</v>
      </c>
      <c r="F84" s="80"/>
      <c r="G84" s="80"/>
      <c r="H84" s="80">
        <f>H85</f>
        <v>113500</v>
      </c>
      <c r="I84" s="80">
        <f>I85</f>
        <v>113500</v>
      </c>
    </row>
    <row r="85" spans="1:9" ht="12.75">
      <c r="A85" s="77" t="s">
        <v>391</v>
      </c>
      <c r="B85" s="78" t="s">
        <v>187</v>
      </c>
      <c r="C85" s="184" t="s">
        <v>412</v>
      </c>
      <c r="D85" s="81">
        <v>200</v>
      </c>
      <c r="E85" s="150" t="s">
        <v>319</v>
      </c>
      <c r="F85" s="185">
        <f>SUM(F86:F90)</f>
        <v>113500</v>
      </c>
      <c r="G85" s="80"/>
      <c r="H85" s="80">
        <f>F85</f>
        <v>113500</v>
      </c>
      <c r="I85" s="80">
        <f>H85</f>
        <v>113500</v>
      </c>
    </row>
    <row r="86" spans="1:9" ht="12.75" hidden="1">
      <c r="A86" s="257" t="s">
        <v>547</v>
      </c>
      <c r="B86" s="257"/>
      <c r="C86" s="257"/>
      <c r="D86" s="257"/>
      <c r="E86" s="149" t="s">
        <v>588</v>
      </c>
      <c r="F86" s="144">
        <v>46000</v>
      </c>
      <c r="G86" s="80"/>
      <c r="H86" s="80"/>
      <c r="I86" s="80"/>
    </row>
    <row r="87" spans="1:9" ht="12.75" hidden="1">
      <c r="A87" s="257"/>
      <c r="B87" s="257"/>
      <c r="C87" s="257"/>
      <c r="D87" s="257"/>
      <c r="E87" s="149" t="s">
        <v>589</v>
      </c>
      <c r="F87" s="144">
        <v>8000</v>
      </c>
      <c r="G87" s="80"/>
      <c r="H87" s="80"/>
      <c r="I87" s="80"/>
    </row>
    <row r="88" spans="1:9" ht="12.75" hidden="1">
      <c r="A88" s="257"/>
      <c r="B88" s="257"/>
      <c r="C88" s="257"/>
      <c r="D88" s="257"/>
      <c r="E88" s="149" t="s">
        <v>590</v>
      </c>
      <c r="F88" s="144">
        <v>2000</v>
      </c>
      <c r="G88" s="80"/>
      <c r="H88" s="80"/>
      <c r="I88" s="80"/>
    </row>
    <row r="89" spans="1:9" ht="12.75" hidden="1">
      <c r="A89" s="257"/>
      <c r="B89" s="257"/>
      <c r="C89" s="257"/>
      <c r="D89" s="257"/>
      <c r="E89" s="149" t="s">
        <v>591</v>
      </c>
      <c r="F89" s="144">
        <v>17500</v>
      </c>
      <c r="G89" s="80"/>
      <c r="H89" s="80"/>
      <c r="I89" s="80"/>
    </row>
    <row r="90" spans="1:9" ht="12.75" hidden="1">
      <c r="A90" s="257"/>
      <c r="B90" s="257"/>
      <c r="C90" s="257"/>
      <c r="D90" s="257"/>
      <c r="E90" s="149" t="s">
        <v>652</v>
      </c>
      <c r="F90" s="144">
        <v>40000</v>
      </c>
      <c r="G90" s="80"/>
      <c r="H90" s="80"/>
      <c r="I90" s="80"/>
    </row>
    <row r="91" spans="1:9" ht="12.75">
      <c r="A91" s="77" t="s">
        <v>391</v>
      </c>
      <c r="B91" s="174" t="s">
        <v>188</v>
      </c>
      <c r="C91" s="178" t="s">
        <v>414</v>
      </c>
      <c r="D91" s="81"/>
      <c r="E91" s="150" t="s">
        <v>366</v>
      </c>
      <c r="F91" s="185">
        <f>H91</f>
        <v>59000</v>
      </c>
      <c r="G91" s="80"/>
      <c r="H91" s="156">
        <f>H92+H93</f>
        <v>59000</v>
      </c>
      <c r="I91" s="156">
        <f>H91</f>
        <v>59000</v>
      </c>
    </row>
    <row r="92" spans="1:9" ht="26.25">
      <c r="A92" s="77" t="s">
        <v>391</v>
      </c>
      <c r="B92" s="77" t="s">
        <v>188</v>
      </c>
      <c r="C92" s="178" t="s">
        <v>414</v>
      </c>
      <c r="D92" s="81">
        <v>100</v>
      </c>
      <c r="E92" s="150" t="s">
        <v>395</v>
      </c>
      <c r="F92" s="144"/>
      <c r="G92" s="80"/>
      <c r="H92" s="80">
        <v>50000</v>
      </c>
      <c r="I92" s="80">
        <f>H92</f>
        <v>50000</v>
      </c>
    </row>
    <row r="93" spans="1:9" ht="12.75">
      <c r="A93" s="77" t="s">
        <v>391</v>
      </c>
      <c r="B93" s="77" t="s">
        <v>188</v>
      </c>
      <c r="C93" s="178" t="s">
        <v>414</v>
      </c>
      <c r="D93" s="81">
        <v>200</v>
      </c>
      <c r="E93" s="150" t="s">
        <v>319</v>
      </c>
      <c r="F93" s="144"/>
      <c r="G93" s="80"/>
      <c r="H93" s="80">
        <v>9000</v>
      </c>
      <c r="I93" s="80">
        <f>H93</f>
        <v>9000</v>
      </c>
    </row>
    <row r="94" spans="1:9" ht="15">
      <c r="A94" s="77" t="s">
        <v>391</v>
      </c>
      <c r="B94" s="174" t="s">
        <v>189</v>
      </c>
      <c r="C94" s="182"/>
      <c r="D94" s="182"/>
      <c r="E94" s="151" t="s">
        <v>190</v>
      </c>
      <c r="F94" s="173">
        <f>F95+F102</f>
        <v>23107593.611092</v>
      </c>
      <c r="G94" s="156">
        <f>G95++G158+G102</f>
        <v>13010698.46</v>
      </c>
      <c r="H94" s="156">
        <f>H95++H158+H102</f>
        <v>10113494.1</v>
      </c>
      <c r="I94" s="156">
        <f>I95++I158+I102</f>
        <v>23124192.56</v>
      </c>
    </row>
    <row r="95" spans="1:9" ht="12.75">
      <c r="A95" s="77" t="s">
        <v>391</v>
      </c>
      <c r="B95" s="174" t="s">
        <v>191</v>
      </c>
      <c r="C95" s="182"/>
      <c r="D95" s="182"/>
      <c r="E95" s="151" t="s">
        <v>192</v>
      </c>
      <c r="F95" s="156">
        <f>F97</f>
        <v>120000</v>
      </c>
      <c r="G95" s="156"/>
      <c r="H95" s="156">
        <f>H96+H100</f>
        <v>120000</v>
      </c>
      <c r="I95" s="156">
        <f>H95</f>
        <v>120000</v>
      </c>
    </row>
    <row r="96" spans="1:9" ht="12.75">
      <c r="A96" s="77" t="s">
        <v>391</v>
      </c>
      <c r="B96" s="77" t="s">
        <v>191</v>
      </c>
      <c r="C96" s="178" t="s">
        <v>472</v>
      </c>
      <c r="D96" s="178"/>
      <c r="E96" s="150" t="s">
        <v>29</v>
      </c>
      <c r="F96" s="80"/>
      <c r="G96" s="80"/>
      <c r="H96" s="80">
        <f>H97</f>
        <v>120000</v>
      </c>
      <c r="I96" s="80">
        <f>H96</f>
        <v>120000</v>
      </c>
    </row>
    <row r="97" spans="1:9" ht="12.75">
      <c r="A97" s="77" t="s">
        <v>391</v>
      </c>
      <c r="B97" s="77" t="s">
        <v>191</v>
      </c>
      <c r="C97" s="178" t="s">
        <v>472</v>
      </c>
      <c r="D97" s="81">
        <v>200</v>
      </c>
      <c r="E97" s="150" t="s">
        <v>319</v>
      </c>
      <c r="F97" s="185">
        <f>SUM(F98:F99)</f>
        <v>120000</v>
      </c>
      <c r="G97" s="80"/>
      <c r="H97" s="80">
        <f>F97</f>
        <v>120000</v>
      </c>
      <c r="I97" s="80">
        <f>H97</f>
        <v>120000</v>
      </c>
    </row>
    <row r="98" spans="1:9" ht="12.75" hidden="1">
      <c r="A98" s="257" t="s">
        <v>547</v>
      </c>
      <c r="B98" s="257"/>
      <c r="C98" s="257"/>
      <c r="D98" s="257"/>
      <c r="E98" s="149" t="s">
        <v>569</v>
      </c>
      <c r="F98" s="144">
        <v>40000</v>
      </c>
      <c r="G98" s="80"/>
      <c r="H98" s="80"/>
      <c r="I98" s="80"/>
    </row>
    <row r="99" spans="1:9" ht="12.75" hidden="1">
      <c r="A99" s="257"/>
      <c r="B99" s="257"/>
      <c r="C99" s="257"/>
      <c r="D99" s="257"/>
      <c r="E99" s="149" t="s">
        <v>651</v>
      </c>
      <c r="F99" s="144">
        <v>80000</v>
      </c>
      <c r="G99" s="80"/>
      <c r="H99" s="80"/>
      <c r="I99" s="80"/>
    </row>
    <row r="100" spans="1:9" ht="12.75">
      <c r="A100" s="77" t="s">
        <v>391</v>
      </c>
      <c r="B100" s="77" t="s">
        <v>191</v>
      </c>
      <c r="C100" s="178" t="s">
        <v>470</v>
      </c>
      <c r="D100" s="81"/>
      <c r="E100" s="150" t="s">
        <v>471</v>
      </c>
      <c r="F100" s="144"/>
      <c r="G100" s="80"/>
      <c r="H100" s="80">
        <f>H101</f>
        <v>0</v>
      </c>
      <c r="I100" s="80">
        <f>H100</f>
        <v>0</v>
      </c>
    </row>
    <row r="101" spans="1:9" ht="12.75">
      <c r="A101" s="77" t="s">
        <v>391</v>
      </c>
      <c r="B101" s="77" t="s">
        <v>191</v>
      </c>
      <c r="C101" s="178" t="s">
        <v>470</v>
      </c>
      <c r="D101" s="81">
        <v>800</v>
      </c>
      <c r="E101" s="150" t="s">
        <v>274</v>
      </c>
      <c r="F101" s="144"/>
      <c r="G101" s="80"/>
      <c r="H101" s="80">
        <v>0</v>
      </c>
      <c r="I101" s="80">
        <f>H101</f>
        <v>0</v>
      </c>
    </row>
    <row r="102" spans="1:10" ht="12.75">
      <c r="A102" s="77" t="s">
        <v>391</v>
      </c>
      <c r="B102" s="174" t="s">
        <v>193</v>
      </c>
      <c r="C102" s="178"/>
      <c r="D102" s="178"/>
      <c r="E102" s="210" t="s">
        <v>194</v>
      </c>
      <c r="F102" s="156">
        <f>SUM(F105:F157)</f>
        <v>22987593.611092</v>
      </c>
      <c r="G102" s="156">
        <f>G145+G147+G151</f>
        <v>12994929.46</v>
      </c>
      <c r="H102" s="156">
        <f>H103++H146+H149+H156+H153</f>
        <v>9992664.15</v>
      </c>
      <c r="I102" s="156">
        <f>G102+H102</f>
        <v>22987593.61</v>
      </c>
      <c r="J102" s="148"/>
    </row>
    <row r="103" spans="1:9" ht="12.75">
      <c r="A103" s="77" t="s">
        <v>391</v>
      </c>
      <c r="B103" s="77" t="s">
        <v>193</v>
      </c>
      <c r="C103" s="153" t="s">
        <v>415</v>
      </c>
      <c r="D103" s="81"/>
      <c r="E103" s="150" t="s">
        <v>28</v>
      </c>
      <c r="F103" s="185"/>
      <c r="G103" s="80"/>
      <c r="H103" s="80">
        <f>H104+H144</f>
        <v>8977164.71</v>
      </c>
      <c r="I103" s="80">
        <f>I104+I144</f>
        <v>8977164.71</v>
      </c>
    </row>
    <row r="104" spans="1:10" ht="12.75">
      <c r="A104" s="77" t="s">
        <v>391</v>
      </c>
      <c r="B104" s="77" t="s">
        <v>193</v>
      </c>
      <c r="C104" s="153" t="s">
        <v>415</v>
      </c>
      <c r="D104" s="81">
        <v>200</v>
      </c>
      <c r="E104" s="150" t="s">
        <v>319</v>
      </c>
      <c r="F104" s="144"/>
      <c r="G104" s="80"/>
      <c r="H104" s="80">
        <f>9395164.71-418000</f>
        <v>8977164.71</v>
      </c>
      <c r="I104" s="80">
        <f>SUM(G104+H104)</f>
        <v>8977164.71</v>
      </c>
      <c r="J104" s="148"/>
    </row>
    <row r="105" spans="1:9" ht="12.75" hidden="1">
      <c r="A105" s="77"/>
      <c r="B105" s="77"/>
      <c r="C105" s="153"/>
      <c r="D105" s="81"/>
      <c r="E105" s="149" t="s">
        <v>577</v>
      </c>
      <c r="F105" s="80">
        <f>2000000-599393.4</f>
        <v>1400606.6</v>
      </c>
      <c r="G105" s="80"/>
      <c r="H105" s="80"/>
      <c r="I105" s="80"/>
    </row>
    <row r="106" spans="1:10" ht="39" hidden="1">
      <c r="A106" s="77"/>
      <c r="B106" s="78"/>
      <c r="C106" s="153"/>
      <c r="D106" s="81"/>
      <c r="E106" s="149" t="s">
        <v>648</v>
      </c>
      <c r="F106" s="80">
        <v>1000000</v>
      </c>
      <c r="G106" s="80"/>
      <c r="H106" s="80"/>
      <c r="I106" s="80"/>
      <c r="J106" s="148"/>
    </row>
    <row r="107" spans="1:9" ht="12.75" hidden="1">
      <c r="A107" s="77"/>
      <c r="B107" s="78"/>
      <c r="C107" s="153"/>
      <c r="D107" s="81"/>
      <c r="E107" s="149" t="s">
        <v>578</v>
      </c>
      <c r="F107" s="80"/>
      <c r="G107" s="80"/>
      <c r="H107" s="80"/>
      <c r="I107" s="80"/>
    </row>
    <row r="108" spans="1:10" ht="12.75" hidden="1">
      <c r="A108" s="77"/>
      <c r="B108" s="78"/>
      <c r="C108" s="153"/>
      <c r="D108" s="81"/>
      <c r="E108" s="186" t="s">
        <v>638</v>
      </c>
      <c r="F108" s="156">
        <v>2285491.19</v>
      </c>
      <c r="G108" s="80"/>
      <c r="H108" s="80"/>
      <c r="I108" s="80"/>
      <c r="J108" s="148"/>
    </row>
    <row r="109" spans="1:9" ht="12.75" hidden="1">
      <c r="A109" s="77"/>
      <c r="B109" s="78"/>
      <c r="C109" s="153"/>
      <c r="D109" s="81"/>
      <c r="E109" s="149" t="s">
        <v>575</v>
      </c>
      <c r="F109" s="80">
        <f>F108*2.14%</f>
        <v>48909.511466</v>
      </c>
      <c r="G109" s="80"/>
      <c r="H109" s="80"/>
      <c r="I109" s="80"/>
    </row>
    <row r="110" spans="1:9" ht="12.75" hidden="1">
      <c r="A110" s="77"/>
      <c r="B110" s="78"/>
      <c r="C110" s="153"/>
      <c r="D110" s="81"/>
      <c r="E110" s="186" t="s">
        <v>570</v>
      </c>
      <c r="F110" s="156">
        <v>1510861.84</v>
      </c>
      <c r="G110" s="80"/>
      <c r="H110" s="80"/>
      <c r="I110" s="80"/>
    </row>
    <row r="111" spans="1:9" ht="12.75" hidden="1">
      <c r="A111" s="77"/>
      <c r="B111" s="78"/>
      <c r="C111" s="153"/>
      <c r="D111" s="81"/>
      <c r="E111" s="149" t="s">
        <v>575</v>
      </c>
      <c r="F111" s="80">
        <f>F110*2.14%</f>
        <v>32332.443376000007</v>
      </c>
      <c r="G111" s="80"/>
      <c r="H111" s="80"/>
      <c r="I111" s="80"/>
    </row>
    <row r="112" spans="1:9" ht="12.75" hidden="1">
      <c r="A112" s="77"/>
      <c r="B112" s="78"/>
      <c r="C112" s="153"/>
      <c r="D112" s="81"/>
      <c r="E112" s="186" t="s">
        <v>571</v>
      </c>
      <c r="F112" s="156">
        <v>1314180</v>
      </c>
      <c r="G112" s="80"/>
      <c r="H112" s="80"/>
      <c r="I112" s="80"/>
    </row>
    <row r="113" spans="1:9" ht="12.75" hidden="1">
      <c r="A113" s="77"/>
      <c r="B113" s="78"/>
      <c r="C113" s="153"/>
      <c r="D113" s="81"/>
      <c r="E113" s="149" t="s">
        <v>575</v>
      </c>
      <c r="F113" s="80">
        <f>F112*2.14%</f>
        <v>28123.452000000005</v>
      </c>
      <c r="G113" s="80"/>
      <c r="H113" s="80"/>
      <c r="I113" s="80"/>
    </row>
    <row r="114" spans="1:9" ht="12.75" hidden="1">
      <c r="A114" s="77"/>
      <c r="B114" s="78"/>
      <c r="C114" s="153"/>
      <c r="D114" s="81"/>
      <c r="E114" s="186" t="s">
        <v>662</v>
      </c>
      <c r="F114" s="156">
        <v>514739.97</v>
      </c>
      <c r="G114" s="80"/>
      <c r="H114" s="80"/>
      <c r="I114" s="80"/>
    </row>
    <row r="115" spans="1:9" ht="12.75" hidden="1">
      <c r="A115" s="77"/>
      <c r="B115" s="78"/>
      <c r="C115" s="153"/>
      <c r="D115" s="81"/>
      <c r="E115" s="149" t="s">
        <v>575</v>
      </c>
      <c r="F115" s="80">
        <f>F114*2.14%</f>
        <v>11015.435358</v>
      </c>
      <c r="G115" s="80"/>
      <c r="H115" s="80"/>
      <c r="I115" s="80"/>
    </row>
    <row r="116" spans="1:9" ht="12.75" hidden="1">
      <c r="A116" s="77"/>
      <c r="B116" s="78"/>
      <c r="C116" s="153"/>
      <c r="D116" s="81"/>
      <c r="E116" s="186" t="s">
        <v>633</v>
      </c>
      <c r="F116" s="156">
        <v>800000</v>
      </c>
      <c r="G116" s="80">
        <v>0</v>
      </c>
      <c r="H116" s="80"/>
      <c r="I116" s="80"/>
    </row>
    <row r="117" spans="1:9" ht="12.75" hidden="1">
      <c r="A117" s="77"/>
      <c r="B117" s="78"/>
      <c r="C117" s="153"/>
      <c r="D117" s="81"/>
      <c r="E117" s="149" t="s">
        <v>0</v>
      </c>
      <c r="F117" s="80">
        <v>40000</v>
      </c>
      <c r="G117" s="80"/>
      <c r="H117" s="80"/>
      <c r="I117" s="80"/>
    </row>
    <row r="118" spans="1:9" ht="12.75" hidden="1">
      <c r="A118" s="77"/>
      <c r="B118" s="78"/>
      <c r="C118" s="153"/>
      <c r="D118" s="81"/>
      <c r="E118" s="149" t="s">
        <v>575</v>
      </c>
      <c r="F118" s="80">
        <f>F116*2.14%</f>
        <v>17120.000000000004</v>
      </c>
      <c r="G118" s="80"/>
      <c r="H118" s="80"/>
      <c r="I118" s="80"/>
    </row>
    <row r="119" spans="1:9" ht="12.75" hidden="1">
      <c r="A119" s="77"/>
      <c r="B119" s="78"/>
      <c r="C119" s="153"/>
      <c r="D119" s="81"/>
      <c r="E119" s="186" t="s">
        <v>634</v>
      </c>
      <c r="F119" s="156">
        <v>2971178.4</v>
      </c>
      <c r="G119" s="80"/>
      <c r="H119" s="80"/>
      <c r="I119" s="80"/>
    </row>
    <row r="120" spans="1:9" ht="12.75" hidden="1">
      <c r="A120" s="77"/>
      <c r="B120" s="78"/>
      <c r="C120" s="153"/>
      <c r="D120" s="81"/>
      <c r="E120" s="149" t="s">
        <v>1</v>
      </c>
      <c r="F120" s="80">
        <f>F119*10%</f>
        <v>297117.84</v>
      </c>
      <c r="G120" s="80"/>
      <c r="H120" s="80"/>
      <c r="I120" s="80"/>
    </row>
    <row r="121" spans="1:9" ht="12.75" hidden="1">
      <c r="A121" s="77"/>
      <c r="B121" s="78"/>
      <c r="C121" s="153"/>
      <c r="D121" s="81"/>
      <c r="E121" s="149" t="s">
        <v>575</v>
      </c>
      <c r="F121" s="80">
        <f>F119*2.14%</f>
        <v>63583.21776000001</v>
      </c>
      <c r="G121" s="80">
        <v>0</v>
      </c>
      <c r="H121" s="80"/>
      <c r="I121" s="80"/>
    </row>
    <row r="122" spans="1:9" ht="12.75" hidden="1">
      <c r="A122" s="77"/>
      <c r="B122" s="78"/>
      <c r="C122" s="153"/>
      <c r="D122" s="81"/>
      <c r="E122" s="186" t="s">
        <v>641</v>
      </c>
      <c r="F122" s="156">
        <v>1448521.84</v>
      </c>
      <c r="G122" s="80"/>
      <c r="H122" s="80"/>
      <c r="I122" s="80"/>
    </row>
    <row r="123" spans="1:9" ht="12.75" hidden="1">
      <c r="A123" s="77"/>
      <c r="B123" s="78"/>
      <c r="C123" s="153"/>
      <c r="D123" s="81"/>
      <c r="E123" s="149" t="s">
        <v>0</v>
      </c>
      <c r="F123" s="80">
        <f>F122*10%</f>
        <v>144852.184</v>
      </c>
      <c r="G123" s="80"/>
      <c r="H123" s="80"/>
      <c r="I123" s="80"/>
    </row>
    <row r="124" spans="1:9" ht="12.75" hidden="1">
      <c r="A124" s="77"/>
      <c r="B124" s="78"/>
      <c r="C124" s="153"/>
      <c r="D124" s="81"/>
      <c r="E124" s="149" t="s">
        <v>575</v>
      </c>
      <c r="F124" s="80">
        <f>F122*2.14%</f>
        <v>30998.367376000006</v>
      </c>
      <c r="G124" s="80"/>
      <c r="H124" s="80"/>
      <c r="I124" s="80"/>
    </row>
    <row r="125" spans="1:9" ht="12.75" hidden="1">
      <c r="A125" s="77"/>
      <c r="B125" s="78"/>
      <c r="C125" s="153"/>
      <c r="D125" s="81"/>
      <c r="E125" s="186" t="s">
        <v>642</v>
      </c>
      <c r="F125" s="156">
        <v>926353.54</v>
      </c>
      <c r="G125" s="80">
        <v>0</v>
      </c>
      <c r="H125" s="80"/>
      <c r="I125" s="80"/>
    </row>
    <row r="126" spans="1:9" ht="12.75" hidden="1">
      <c r="A126" s="77"/>
      <c r="B126" s="78"/>
      <c r="C126" s="153"/>
      <c r="D126" s="81"/>
      <c r="E126" s="149" t="s">
        <v>0</v>
      </c>
      <c r="F126" s="80">
        <f>F125*10%</f>
        <v>92635.354</v>
      </c>
      <c r="G126" s="80"/>
      <c r="H126" s="80"/>
      <c r="I126" s="80"/>
    </row>
    <row r="127" spans="1:9" ht="12.75" hidden="1">
      <c r="A127" s="77"/>
      <c r="B127" s="78"/>
      <c r="C127" s="153"/>
      <c r="D127" s="81"/>
      <c r="E127" s="149" t="s">
        <v>575</v>
      </c>
      <c r="F127" s="80">
        <f>F125*2.14%</f>
        <v>19823.965756</v>
      </c>
      <c r="G127" s="80"/>
      <c r="H127" s="80"/>
      <c r="I127" s="80"/>
    </row>
    <row r="128" spans="1:9" ht="12.75" hidden="1">
      <c r="A128" s="77"/>
      <c r="B128" s="78"/>
      <c r="C128" s="153"/>
      <c r="D128" s="81"/>
      <c r="E128" s="186" t="s">
        <v>643</v>
      </c>
      <c r="F128" s="156">
        <v>0</v>
      </c>
      <c r="G128" s="80">
        <v>0</v>
      </c>
      <c r="H128" s="80"/>
      <c r="I128" s="80"/>
    </row>
    <row r="129" spans="1:9" ht="12.75" hidden="1">
      <c r="A129" s="77"/>
      <c r="B129" s="78"/>
      <c r="C129" s="153"/>
      <c r="D129" s="81"/>
      <c r="E129" s="149" t="s">
        <v>0</v>
      </c>
      <c r="F129" s="80">
        <f>F128*10%</f>
        <v>0</v>
      </c>
      <c r="G129" s="80"/>
      <c r="H129" s="80"/>
      <c r="I129" s="80"/>
    </row>
    <row r="130" spans="1:9" ht="12.75" hidden="1">
      <c r="A130" s="77"/>
      <c r="B130" s="78"/>
      <c r="C130" s="153"/>
      <c r="D130" s="81"/>
      <c r="E130" s="149" t="s">
        <v>575</v>
      </c>
      <c r="F130" s="80">
        <f>F128*2.14%</f>
        <v>0</v>
      </c>
      <c r="G130" s="80"/>
      <c r="H130" s="80"/>
      <c r="I130" s="80"/>
    </row>
    <row r="131" spans="1:9" ht="12.75" hidden="1">
      <c r="A131" s="77"/>
      <c r="B131" s="78"/>
      <c r="C131" s="153"/>
      <c r="D131" s="81"/>
      <c r="E131" s="186" t="s">
        <v>635</v>
      </c>
      <c r="F131" s="156">
        <v>600000</v>
      </c>
      <c r="G131" s="80">
        <v>0</v>
      </c>
      <c r="H131" s="80"/>
      <c r="I131" s="80"/>
    </row>
    <row r="132" spans="1:9" ht="12.75" hidden="1">
      <c r="A132" s="77"/>
      <c r="B132" s="77"/>
      <c r="C132" s="153"/>
      <c r="D132" s="81"/>
      <c r="E132" s="149" t="s">
        <v>0</v>
      </c>
      <c r="F132" s="80">
        <v>60000</v>
      </c>
      <c r="G132" s="80"/>
      <c r="H132" s="80"/>
      <c r="I132" s="80"/>
    </row>
    <row r="133" spans="1:9" ht="12.75" hidden="1">
      <c r="A133" s="77"/>
      <c r="B133" s="77"/>
      <c r="C133" s="153"/>
      <c r="D133" s="81"/>
      <c r="E133" s="149" t="s">
        <v>575</v>
      </c>
      <c r="F133" s="80">
        <f>F131*2.14%</f>
        <v>12840.000000000002</v>
      </c>
      <c r="G133" s="80"/>
      <c r="H133" s="80"/>
      <c r="I133" s="80"/>
    </row>
    <row r="134" spans="1:9" ht="12.75" hidden="1">
      <c r="A134" s="77"/>
      <c r="B134" s="77"/>
      <c r="C134" s="153"/>
      <c r="D134" s="81"/>
      <c r="E134" s="186" t="s">
        <v>636</v>
      </c>
      <c r="F134" s="156">
        <v>1100000</v>
      </c>
      <c r="G134" s="80">
        <v>0</v>
      </c>
      <c r="H134" s="80"/>
      <c r="I134" s="80"/>
    </row>
    <row r="135" spans="1:9" ht="12.75" hidden="1">
      <c r="A135" s="187"/>
      <c r="B135" s="187"/>
      <c r="C135" s="188"/>
      <c r="D135" s="187"/>
      <c r="E135" s="149" t="s">
        <v>0</v>
      </c>
      <c r="F135" s="152">
        <v>50000</v>
      </c>
      <c r="G135" s="187"/>
      <c r="H135" s="187"/>
      <c r="I135" s="187"/>
    </row>
    <row r="136" spans="1:9" ht="12.75" hidden="1">
      <c r="A136" s="187"/>
      <c r="B136" s="187"/>
      <c r="C136" s="188"/>
      <c r="D136" s="187"/>
      <c r="E136" s="149" t="s">
        <v>575</v>
      </c>
      <c r="F136" s="152">
        <f>F134*2.14%</f>
        <v>23540.000000000004</v>
      </c>
      <c r="G136" s="187"/>
      <c r="H136" s="187"/>
      <c r="I136" s="187"/>
    </row>
    <row r="137" spans="1:9" ht="12.75" hidden="1">
      <c r="A137" s="77"/>
      <c r="B137" s="77"/>
      <c r="C137" s="153"/>
      <c r="D137" s="81"/>
      <c r="E137" s="186" t="s">
        <v>43</v>
      </c>
      <c r="F137" s="156">
        <v>4000000</v>
      </c>
      <c r="G137" s="80"/>
      <c r="H137" s="80"/>
      <c r="I137" s="80"/>
    </row>
    <row r="138" spans="1:9" ht="12.75" hidden="1">
      <c r="A138" s="187"/>
      <c r="B138" s="187"/>
      <c r="C138" s="188"/>
      <c r="D138" s="187"/>
      <c r="E138" s="149" t="s">
        <v>0</v>
      </c>
      <c r="F138" s="152">
        <f>F137*10%</f>
        <v>400000</v>
      </c>
      <c r="G138" s="187"/>
      <c r="H138" s="187"/>
      <c r="I138" s="187"/>
    </row>
    <row r="139" spans="1:9" ht="12.75" hidden="1">
      <c r="A139" s="187"/>
      <c r="B139" s="187"/>
      <c r="C139" s="188"/>
      <c r="D139" s="187"/>
      <c r="E139" s="149" t="s">
        <v>575</v>
      </c>
      <c r="F139" s="152">
        <f>F137*2.14%</f>
        <v>85600.00000000001</v>
      </c>
      <c r="G139" s="187"/>
      <c r="H139" s="187"/>
      <c r="I139" s="187"/>
    </row>
    <row r="140" spans="1:9" ht="12.75" hidden="1">
      <c r="A140" s="78"/>
      <c r="B140" s="78"/>
      <c r="C140" s="155"/>
      <c r="D140" s="79"/>
      <c r="E140" s="186" t="s">
        <v>637</v>
      </c>
      <c r="F140" s="144"/>
      <c r="G140" s="80"/>
      <c r="H140" s="80"/>
      <c r="I140" s="80"/>
    </row>
    <row r="141" spans="1:9" ht="12.75" hidden="1">
      <c r="A141" s="77"/>
      <c r="B141" s="78"/>
      <c r="C141" s="153"/>
      <c r="D141" s="81"/>
      <c r="E141" s="149" t="s">
        <v>574</v>
      </c>
      <c r="F141" s="144"/>
      <c r="G141" s="80"/>
      <c r="H141" s="80"/>
      <c r="I141" s="80"/>
    </row>
    <row r="142" spans="1:9" ht="12.75" hidden="1">
      <c r="A142" s="77"/>
      <c r="B142" s="78"/>
      <c r="C142" s="153"/>
      <c r="D142" s="81"/>
      <c r="E142" s="149" t="s">
        <v>573</v>
      </c>
      <c r="F142" s="144"/>
      <c r="G142" s="80"/>
      <c r="H142" s="80"/>
      <c r="I142" s="80"/>
    </row>
    <row r="143" spans="1:9" ht="12.75" hidden="1">
      <c r="A143" s="77"/>
      <c r="B143" s="78"/>
      <c r="C143" s="153"/>
      <c r="D143" s="81"/>
      <c r="E143" s="149" t="s">
        <v>572</v>
      </c>
      <c r="F143" s="144"/>
      <c r="G143" s="80"/>
      <c r="H143" s="80"/>
      <c r="I143" s="80"/>
    </row>
    <row r="144" spans="1:9" ht="12.75">
      <c r="A144" s="77" t="s">
        <v>391</v>
      </c>
      <c r="B144" s="78" t="s">
        <v>193</v>
      </c>
      <c r="C144" s="153" t="s">
        <v>415</v>
      </c>
      <c r="D144" s="81">
        <v>800</v>
      </c>
      <c r="E144" s="150" t="s">
        <v>274</v>
      </c>
      <c r="F144" s="144"/>
      <c r="G144" s="80"/>
      <c r="H144" s="80"/>
      <c r="I144" s="80">
        <f>H144</f>
        <v>0</v>
      </c>
    </row>
    <row r="145" spans="1:9" ht="12.75">
      <c r="A145" s="77" t="s">
        <v>391</v>
      </c>
      <c r="B145" s="78" t="s">
        <v>193</v>
      </c>
      <c r="C145" s="153" t="s">
        <v>416</v>
      </c>
      <c r="D145" s="81"/>
      <c r="E145" s="150" t="s">
        <v>350</v>
      </c>
      <c r="F145" s="144"/>
      <c r="G145" s="80">
        <f>G146</f>
        <v>1657168.46</v>
      </c>
      <c r="H145" s="80">
        <f>H146</f>
        <v>0</v>
      </c>
      <c r="I145" s="80">
        <f>I146</f>
        <v>1657168.46</v>
      </c>
    </row>
    <row r="146" spans="1:9" ht="12.75">
      <c r="A146" s="77" t="s">
        <v>391</v>
      </c>
      <c r="B146" s="78" t="s">
        <v>193</v>
      </c>
      <c r="C146" s="153" t="s">
        <v>416</v>
      </c>
      <c r="D146" s="81">
        <v>200</v>
      </c>
      <c r="E146" s="150" t="s">
        <v>319</v>
      </c>
      <c r="F146" s="144">
        <f>G146</f>
        <v>1657168.46</v>
      </c>
      <c r="G146" s="80">
        <v>1657168.46</v>
      </c>
      <c r="H146" s="80">
        <v>0</v>
      </c>
      <c r="I146" s="80">
        <f>G146+H146</f>
        <v>1657168.46</v>
      </c>
    </row>
    <row r="147" spans="1:9" ht="12.75">
      <c r="A147" s="77" t="s">
        <v>391</v>
      </c>
      <c r="B147" s="78" t="s">
        <v>193</v>
      </c>
      <c r="C147" s="153" t="s">
        <v>353</v>
      </c>
      <c r="D147" s="81"/>
      <c r="E147" s="150" t="s">
        <v>352</v>
      </c>
      <c r="F147" s="144"/>
      <c r="G147" s="80">
        <f>G148</f>
        <v>5994488</v>
      </c>
      <c r="H147" s="80"/>
      <c r="I147" s="80">
        <f>G147</f>
        <v>5994488</v>
      </c>
    </row>
    <row r="148" spans="1:9" ht="12.75">
      <c r="A148" s="77" t="s">
        <v>391</v>
      </c>
      <c r="B148" s="78" t="s">
        <v>193</v>
      </c>
      <c r="C148" s="153" t="s">
        <v>353</v>
      </c>
      <c r="D148" s="81">
        <v>200</v>
      </c>
      <c r="E148" s="150" t="s">
        <v>319</v>
      </c>
      <c r="F148" s="144"/>
      <c r="G148" s="80">
        <v>5994488</v>
      </c>
      <c r="H148" s="80"/>
      <c r="I148" s="80">
        <f>G148</f>
        <v>5994488</v>
      </c>
    </row>
    <row r="149" spans="1:9" ht="12.75">
      <c r="A149" s="77" t="s">
        <v>391</v>
      </c>
      <c r="B149" s="78" t="s">
        <v>193</v>
      </c>
      <c r="C149" s="153" t="s">
        <v>462</v>
      </c>
      <c r="D149" s="81"/>
      <c r="E149" s="150" t="s">
        <v>463</v>
      </c>
      <c r="F149" s="144"/>
      <c r="G149" s="80"/>
      <c r="H149" s="80">
        <f>H150</f>
        <v>315499.44</v>
      </c>
      <c r="I149" s="80">
        <f>H149</f>
        <v>315499.44</v>
      </c>
    </row>
    <row r="150" spans="1:9" ht="12.75">
      <c r="A150" s="77" t="s">
        <v>391</v>
      </c>
      <c r="B150" s="78" t="s">
        <v>193</v>
      </c>
      <c r="C150" s="153" t="s">
        <v>462</v>
      </c>
      <c r="D150" s="81">
        <v>200</v>
      </c>
      <c r="E150" s="150" t="s">
        <v>647</v>
      </c>
      <c r="F150" s="144">
        <v>0</v>
      </c>
      <c r="G150" s="80"/>
      <c r="H150" s="80">
        <v>315499.44</v>
      </c>
      <c r="I150" s="80">
        <f>H150</f>
        <v>315499.44</v>
      </c>
    </row>
    <row r="151" spans="1:9" ht="26.25">
      <c r="A151" s="77" t="s">
        <v>391</v>
      </c>
      <c r="B151" s="77" t="s">
        <v>193</v>
      </c>
      <c r="C151" s="211" t="s">
        <v>539</v>
      </c>
      <c r="D151" s="81"/>
      <c r="E151" s="212" t="s">
        <v>538</v>
      </c>
      <c r="F151" s="80"/>
      <c r="G151" s="80">
        <f>G152</f>
        <v>5343273</v>
      </c>
      <c r="H151" s="80"/>
      <c r="I151" s="80">
        <f>G151</f>
        <v>5343273</v>
      </c>
    </row>
    <row r="152" spans="1:9" ht="12.75">
      <c r="A152" s="77" t="s">
        <v>391</v>
      </c>
      <c r="B152" s="77" t="s">
        <v>193</v>
      </c>
      <c r="C152" s="211" t="s">
        <v>539</v>
      </c>
      <c r="D152" s="81">
        <v>200</v>
      </c>
      <c r="E152" s="150" t="s">
        <v>647</v>
      </c>
      <c r="F152" s="80"/>
      <c r="G152" s="80">
        <v>5343273</v>
      </c>
      <c r="H152" s="80"/>
      <c r="I152" s="80">
        <f>G152</f>
        <v>5343273</v>
      </c>
    </row>
    <row r="153" spans="1:9" ht="26.25">
      <c r="A153" s="77" t="s">
        <v>391</v>
      </c>
      <c r="B153" s="77" t="s">
        <v>193</v>
      </c>
      <c r="C153" s="211" t="s">
        <v>541</v>
      </c>
      <c r="D153" s="81"/>
      <c r="E153" s="212" t="s">
        <v>540</v>
      </c>
      <c r="F153" s="80"/>
      <c r="G153" s="187"/>
      <c r="H153" s="80">
        <f>H154</f>
        <v>700000</v>
      </c>
      <c r="I153" s="80">
        <f>H153</f>
        <v>700000</v>
      </c>
    </row>
    <row r="154" spans="1:9" ht="12.75">
      <c r="A154" s="77" t="s">
        <v>391</v>
      </c>
      <c r="B154" s="77" t="s">
        <v>193</v>
      </c>
      <c r="C154" s="211" t="s">
        <v>541</v>
      </c>
      <c r="D154" s="81">
        <v>200</v>
      </c>
      <c r="E154" s="150" t="s">
        <v>319</v>
      </c>
      <c r="F154" s="80"/>
      <c r="G154" s="187"/>
      <c r="H154" s="80">
        <f>282000+418000</f>
        <v>700000</v>
      </c>
      <c r="I154" s="80">
        <f>H154</f>
        <v>700000</v>
      </c>
    </row>
    <row r="155" spans="1:9" ht="12.75" hidden="1">
      <c r="A155" s="77"/>
      <c r="B155" s="78"/>
      <c r="C155" s="153"/>
      <c r="D155" s="81"/>
      <c r="E155" s="149" t="s">
        <v>576</v>
      </c>
      <c r="F155" s="144">
        <v>0</v>
      </c>
      <c r="G155" s="80"/>
      <c r="H155" s="80"/>
      <c r="I155" s="80"/>
    </row>
    <row r="156" spans="1:9" ht="12.75">
      <c r="A156" s="77" t="s">
        <v>391</v>
      </c>
      <c r="B156" s="78" t="s">
        <v>193</v>
      </c>
      <c r="C156" s="155" t="s">
        <v>382</v>
      </c>
      <c r="D156" s="79"/>
      <c r="E156" s="150" t="s">
        <v>448</v>
      </c>
      <c r="F156" s="144"/>
      <c r="G156" s="80">
        <f>G157</f>
        <v>0</v>
      </c>
      <c r="H156" s="80">
        <f>H157</f>
        <v>0</v>
      </c>
      <c r="I156" s="80">
        <f aca="true" t="shared" si="1" ref="I156:I166">G156+H156</f>
        <v>0</v>
      </c>
    </row>
    <row r="157" spans="1:9" ht="12.75">
      <c r="A157" s="77" t="s">
        <v>391</v>
      </c>
      <c r="B157" s="78" t="s">
        <v>193</v>
      </c>
      <c r="C157" s="155" t="s">
        <v>382</v>
      </c>
      <c r="D157" s="81">
        <v>200</v>
      </c>
      <c r="E157" s="150" t="s">
        <v>319</v>
      </c>
      <c r="F157" s="144"/>
      <c r="G157" s="80">
        <v>0</v>
      </c>
      <c r="H157" s="80">
        <v>0</v>
      </c>
      <c r="I157" s="80">
        <f t="shared" si="1"/>
        <v>0</v>
      </c>
    </row>
    <row r="158" spans="1:9" ht="12.75">
      <c r="A158" s="174" t="s">
        <v>391</v>
      </c>
      <c r="B158" s="177" t="s">
        <v>44</v>
      </c>
      <c r="C158" s="155"/>
      <c r="D158" s="79"/>
      <c r="E158" s="151" t="s">
        <v>47</v>
      </c>
      <c r="F158" s="144"/>
      <c r="G158" s="156">
        <f>G159</f>
        <v>15769</v>
      </c>
      <c r="H158" s="156">
        <f>H161</f>
        <v>829.95</v>
      </c>
      <c r="I158" s="156">
        <f>G158+H158</f>
        <v>16598.95</v>
      </c>
    </row>
    <row r="159" spans="1:9" ht="26.25">
      <c r="A159" s="77" t="s">
        <v>391</v>
      </c>
      <c r="B159" s="78" t="s">
        <v>44</v>
      </c>
      <c r="C159" s="155" t="s">
        <v>45</v>
      </c>
      <c r="D159" s="79"/>
      <c r="E159" s="150" t="s">
        <v>46</v>
      </c>
      <c r="F159" s="144"/>
      <c r="G159" s="80">
        <f>G160</f>
        <v>15769</v>
      </c>
      <c r="H159" s="80">
        <f>H160</f>
        <v>0</v>
      </c>
      <c r="I159" s="80">
        <f>I160</f>
        <v>15769</v>
      </c>
    </row>
    <row r="160" spans="1:9" ht="12.75">
      <c r="A160" s="77" t="s">
        <v>391</v>
      </c>
      <c r="B160" s="78" t="s">
        <v>44</v>
      </c>
      <c r="C160" s="155" t="s">
        <v>45</v>
      </c>
      <c r="D160" s="79">
        <v>500</v>
      </c>
      <c r="E160" s="150" t="s">
        <v>273</v>
      </c>
      <c r="F160" s="144"/>
      <c r="G160" s="80">
        <v>15769</v>
      </c>
      <c r="H160" s="80"/>
      <c r="I160" s="80">
        <f>G160+H160</f>
        <v>15769</v>
      </c>
    </row>
    <row r="161" spans="1:9" ht="26.25">
      <c r="A161" s="77" t="s">
        <v>391</v>
      </c>
      <c r="B161" s="78" t="s">
        <v>44</v>
      </c>
      <c r="C161" s="155" t="s">
        <v>164</v>
      </c>
      <c r="D161" s="79"/>
      <c r="E161" s="150" t="s">
        <v>49</v>
      </c>
      <c r="F161" s="144"/>
      <c r="G161" s="80"/>
      <c r="H161" s="80">
        <f>H162</f>
        <v>829.95</v>
      </c>
      <c r="I161" s="80">
        <f>H161</f>
        <v>829.95</v>
      </c>
    </row>
    <row r="162" spans="1:9" ht="12.75">
      <c r="A162" s="77" t="s">
        <v>391</v>
      </c>
      <c r="B162" s="78" t="s">
        <v>44</v>
      </c>
      <c r="C162" s="155" t="s">
        <v>164</v>
      </c>
      <c r="D162" s="79">
        <v>500</v>
      </c>
      <c r="E162" s="150" t="s">
        <v>273</v>
      </c>
      <c r="F162" s="144"/>
      <c r="G162" s="80"/>
      <c r="H162" s="80">
        <v>829.95</v>
      </c>
      <c r="I162" s="80">
        <f>H162</f>
        <v>829.95</v>
      </c>
    </row>
    <row r="163" spans="1:9" ht="12.75">
      <c r="A163" s="77" t="s">
        <v>391</v>
      </c>
      <c r="B163" s="177" t="s">
        <v>195</v>
      </c>
      <c r="C163" s="183"/>
      <c r="D163" s="183"/>
      <c r="E163" s="151" t="s">
        <v>196</v>
      </c>
      <c r="F163" s="156">
        <f>F164+F185+F204+F280</f>
        <v>59629307.69</v>
      </c>
      <c r="G163" s="156">
        <f>G164+G185+G204+G280</f>
        <v>26566059</v>
      </c>
      <c r="H163" s="156">
        <f>H164+H185+H204+H280</f>
        <v>34256848.69</v>
      </c>
      <c r="I163" s="156">
        <f t="shared" si="1"/>
        <v>60822907.69</v>
      </c>
    </row>
    <row r="164" spans="1:9" ht="15">
      <c r="A164" s="77" t="s">
        <v>391</v>
      </c>
      <c r="B164" s="177" t="s">
        <v>197</v>
      </c>
      <c r="C164" s="184"/>
      <c r="D164" s="184"/>
      <c r="E164" s="210" t="s">
        <v>198</v>
      </c>
      <c r="F164" s="173">
        <f>SUM(F165:F184)</f>
        <v>2592000</v>
      </c>
      <c r="G164" s="156">
        <f>G165</f>
        <v>0</v>
      </c>
      <c r="H164" s="156">
        <f>H165+H173+H181+H183</f>
        <v>3785600</v>
      </c>
      <c r="I164" s="156">
        <f t="shared" si="1"/>
        <v>3785600</v>
      </c>
    </row>
    <row r="165" spans="1:9" ht="12.75">
      <c r="A165" s="77" t="s">
        <v>391</v>
      </c>
      <c r="B165" s="78" t="s">
        <v>197</v>
      </c>
      <c r="C165" s="184" t="s">
        <v>259</v>
      </c>
      <c r="D165" s="184"/>
      <c r="E165" s="210" t="s">
        <v>16</v>
      </c>
      <c r="F165" s="80"/>
      <c r="G165" s="80">
        <f>G166</f>
        <v>0</v>
      </c>
      <c r="H165" s="80">
        <f>H166</f>
        <v>0</v>
      </c>
      <c r="I165" s="80">
        <f t="shared" si="1"/>
        <v>0</v>
      </c>
    </row>
    <row r="166" spans="1:9" ht="12.75">
      <c r="A166" s="77" t="s">
        <v>391</v>
      </c>
      <c r="B166" s="78" t="s">
        <v>197</v>
      </c>
      <c r="C166" s="153" t="s">
        <v>261</v>
      </c>
      <c r="D166" s="81"/>
      <c r="E166" s="189" t="s">
        <v>260</v>
      </c>
      <c r="F166" s="190"/>
      <c r="G166" s="80">
        <v>0</v>
      </c>
      <c r="H166" s="80">
        <v>0</v>
      </c>
      <c r="I166" s="80">
        <f t="shared" si="1"/>
        <v>0</v>
      </c>
    </row>
    <row r="167" spans="1:9" ht="39">
      <c r="A167" s="77" t="s">
        <v>391</v>
      </c>
      <c r="B167" s="78" t="s">
        <v>197</v>
      </c>
      <c r="C167" s="184" t="s">
        <v>417</v>
      </c>
      <c r="D167" s="184"/>
      <c r="E167" s="210" t="s">
        <v>418</v>
      </c>
      <c r="F167" s="144"/>
      <c r="G167" s="80">
        <f>G168</f>
        <v>0</v>
      </c>
      <c r="H167" s="156"/>
      <c r="I167" s="80">
        <f>G167</f>
        <v>0</v>
      </c>
    </row>
    <row r="168" spans="1:9" ht="12.75">
      <c r="A168" s="77" t="s">
        <v>391</v>
      </c>
      <c r="B168" s="78" t="s">
        <v>197</v>
      </c>
      <c r="C168" s="184" t="s">
        <v>417</v>
      </c>
      <c r="D168" s="184" t="s">
        <v>419</v>
      </c>
      <c r="E168" s="210" t="s">
        <v>420</v>
      </c>
      <c r="F168" s="144"/>
      <c r="G168" s="80">
        <v>0</v>
      </c>
      <c r="H168" s="156"/>
      <c r="I168" s="80">
        <f>G168</f>
        <v>0</v>
      </c>
    </row>
    <row r="169" spans="1:9" ht="26.25">
      <c r="A169" s="77" t="s">
        <v>391</v>
      </c>
      <c r="B169" s="78" t="s">
        <v>197</v>
      </c>
      <c r="C169" s="184" t="s">
        <v>421</v>
      </c>
      <c r="D169" s="184"/>
      <c r="E169" s="210" t="s">
        <v>422</v>
      </c>
      <c r="F169" s="144"/>
      <c r="G169" s="80">
        <f>G170</f>
        <v>0</v>
      </c>
      <c r="H169" s="156"/>
      <c r="I169" s="80">
        <f>G169</f>
        <v>0</v>
      </c>
    </row>
    <row r="170" spans="1:9" ht="12.75">
      <c r="A170" s="77" t="s">
        <v>391</v>
      </c>
      <c r="B170" s="78" t="s">
        <v>197</v>
      </c>
      <c r="C170" s="184" t="s">
        <v>421</v>
      </c>
      <c r="D170" s="184" t="s">
        <v>419</v>
      </c>
      <c r="E170" s="210" t="s">
        <v>420</v>
      </c>
      <c r="F170" s="144"/>
      <c r="G170" s="80">
        <v>0</v>
      </c>
      <c r="H170" s="156"/>
      <c r="I170" s="80">
        <f>G170</f>
        <v>0</v>
      </c>
    </row>
    <row r="171" spans="1:9" ht="26.25">
      <c r="A171" s="77" t="s">
        <v>391</v>
      </c>
      <c r="B171" s="78" t="s">
        <v>197</v>
      </c>
      <c r="C171" s="153" t="s">
        <v>263</v>
      </c>
      <c r="D171" s="81"/>
      <c r="E171" s="189" t="s">
        <v>262</v>
      </c>
      <c r="F171" s="190"/>
      <c r="G171" s="80"/>
      <c r="H171" s="80">
        <f>H172</f>
        <v>0</v>
      </c>
      <c r="I171" s="80">
        <f>I172</f>
        <v>0</v>
      </c>
    </row>
    <row r="172" spans="1:9" ht="12.75">
      <c r="A172" s="77" t="s">
        <v>391</v>
      </c>
      <c r="B172" s="78" t="s">
        <v>197</v>
      </c>
      <c r="C172" s="153" t="s">
        <v>263</v>
      </c>
      <c r="D172" s="81">
        <v>400</v>
      </c>
      <c r="E172" s="189" t="s">
        <v>420</v>
      </c>
      <c r="F172" s="190"/>
      <c r="G172" s="80"/>
      <c r="H172" s="80">
        <v>0</v>
      </c>
      <c r="I172" s="80">
        <f>H172</f>
        <v>0</v>
      </c>
    </row>
    <row r="173" spans="1:9" ht="12.75">
      <c r="A173" s="77" t="s">
        <v>391</v>
      </c>
      <c r="B173" s="78" t="s">
        <v>197</v>
      </c>
      <c r="C173" s="153" t="s">
        <v>423</v>
      </c>
      <c r="D173" s="81"/>
      <c r="E173" s="150" t="s">
        <v>424</v>
      </c>
      <c r="F173" s="144"/>
      <c r="G173" s="80"/>
      <c r="H173" s="80">
        <f>H174+H178</f>
        <v>2222200</v>
      </c>
      <c r="I173" s="80">
        <f>I174+I178</f>
        <v>2222200</v>
      </c>
    </row>
    <row r="174" spans="1:9" ht="12.75">
      <c r="A174" s="77" t="s">
        <v>391</v>
      </c>
      <c r="B174" s="78" t="s">
        <v>197</v>
      </c>
      <c r="C174" s="153" t="s">
        <v>423</v>
      </c>
      <c r="D174" s="81">
        <v>200</v>
      </c>
      <c r="E174" s="150" t="s">
        <v>319</v>
      </c>
      <c r="F174" s="144"/>
      <c r="G174" s="80"/>
      <c r="H174" s="80">
        <v>2080200</v>
      </c>
      <c r="I174" s="80">
        <f>SUM(G174+H174)</f>
        <v>2080200</v>
      </c>
    </row>
    <row r="175" spans="1:9" ht="12.75" hidden="1">
      <c r="A175" s="77"/>
      <c r="B175" s="78"/>
      <c r="C175" s="153"/>
      <c r="D175" s="81"/>
      <c r="E175" s="149" t="s">
        <v>581</v>
      </c>
      <c r="F175" s="144">
        <v>500000</v>
      </c>
      <c r="G175" s="80"/>
      <c r="H175" s="80"/>
      <c r="I175" s="80"/>
    </row>
    <row r="176" spans="1:9" ht="12.75" hidden="1">
      <c r="A176" s="77"/>
      <c r="B176" s="78"/>
      <c r="C176" s="153"/>
      <c r="D176" s="81"/>
      <c r="E176" s="149" t="s">
        <v>41</v>
      </c>
      <c r="F176" s="144">
        <v>200000</v>
      </c>
      <c r="G176" s="80"/>
      <c r="H176" s="80"/>
      <c r="I176" s="80"/>
    </row>
    <row r="177" spans="1:9" ht="12.75" hidden="1">
      <c r="A177" s="77"/>
      <c r="B177" s="78"/>
      <c r="C177" s="153"/>
      <c r="D177" s="81"/>
      <c r="E177" s="191" t="s">
        <v>606</v>
      </c>
      <c r="F177" s="144">
        <v>300000</v>
      </c>
      <c r="G177" s="80"/>
      <c r="H177" s="80"/>
      <c r="I177" s="80"/>
    </row>
    <row r="178" spans="1:9" ht="12.75">
      <c r="A178" s="77" t="s">
        <v>391</v>
      </c>
      <c r="B178" s="78" t="s">
        <v>197</v>
      </c>
      <c r="C178" s="153" t="s">
        <v>423</v>
      </c>
      <c r="D178" s="81">
        <v>800</v>
      </c>
      <c r="E178" s="150" t="s">
        <v>274</v>
      </c>
      <c r="F178" s="144"/>
      <c r="G178" s="80"/>
      <c r="H178" s="80">
        <f>SUM(F179:F180)</f>
        <v>142000</v>
      </c>
      <c r="I178" s="80">
        <f>H178</f>
        <v>142000</v>
      </c>
    </row>
    <row r="179" spans="1:9" ht="12.75" hidden="1">
      <c r="A179" s="77"/>
      <c r="B179" s="78"/>
      <c r="C179" s="153"/>
      <c r="D179" s="81"/>
      <c r="E179" s="149" t="s">
        <v>579</v>
      </c>
      <c r="F179" s="144">
        <v>100000</v>
      </c>
      <c r="G179" s="80"/>
      <c r="H179" s="80"/>
      <c r="I179" s="80"/>
    </row>
    <row r="180" spans="1:9" ht="12.75" hidden="1">
      <c r="A180" s="77"/>
      <c r="B180" s="78"/>
      <c r="C180" s="153"/>
      <c r="D180" s="81"/>
      <c r="E180" s="149" t="s">
        <v>580</v>
      </c>
      <c r="F180" s="144">
        <v>42000</v>
      </c>
      <c r="G180" s="80"/>
      <c r="H180" s="80"/>
      <c r="I180" s="80"/>
    </row>
    <row r="181" spans="1:9" ht="12.75">
      <c r="A181" s="77" t="s">
        <v>391</v>
      </c>
      <c r="B181" s="78" t="s">
        <v>197</v>
      </c>
      <c r="C181" s="153" t="s">
        <v>425</v>
      </c>
      <c r="D181" s="81"/>
      <c r="E181" s="150" t="s">
        <v>305</v>
      </c>
      <c r="F181" s="144"/>
      <c r="G181" s="80"/>
      <c r="H181" s="80">
        <f>H182</f>
        <v>1563400</v>
      </c>
      <c r="I181" s="80">
        <f>I182</f>
        <v>1563400</v>
      </c>
    </row>
    <row r="182" spans="1:9" ht="12.75">
      <c r="A182" s="77" t="s">
        <v>391</v>
      </c>
      <c r="B182" s="78" t="s">
        <v>197</v>
      </c>
      <c r="C182" s="153" t="s">
        <v>425</v>
      </c>
      <c r="D182" s="81">
        <v>200</v>
      </c>
      <c r="E182" s="150" t="s">
        <v>319</v>
      </c>
      <c r="F182" s="144">
        <v>1450000</v>
      </c>
      <c r="G182" s="80"/>
      <c r="H182" s="80">
        <v>1563400</v>
      </c>
      <c r="I182" s="80">
        <f>SUM(G182+H182)</f>
        <v>1563400</v>
      </c>
    </row>
    <row r="183" spans="1:9" ht="12.75">
      <c r="A183" s="77" t="s">
        <v>391</v>
      </c>
      <c r="B183" s="78" t="s">
        <v>197</v>
      </c>
      <c r="C183" s="181" t="s">
        <v>407</v>
      </c>
      <c r="D183" s="81"/>
      <c r="E183" s="150" t="s">
        <v>374</v>
      </c>
      <c r="F183" s="144"/>
      <c r="G183" s="80"/>
      <c r="H183" s="80">
        <f>H184</f>
        <v>0</v>
      </c>
      <c r="I183" s="80">
        <f>I184</f>
        <v>0</v>
      </c>
    </row>
    <row r="184" spans="1:9" ht="12.75">
      <c r="A184" s="77" t="s">
        <v>391</v>
      </c>
      <c r="B184" s="78" t="s">
        <v>197</v>
      </c>
      <c r="C184" s="181" t="s">
        <v>407</v>
      </c>
      <c r="D184" s="81">
        <v>800</v>
      </c>
      <c r="E184" s="150" t="s">
        <v>274</v>
      </c>
      <c r="F184" s="144"/>
      <c r="G184" s="80"/>
      <c r="H184" s="80">
        <v>0</v>
      </c>
      <c r="I184" s="80">
        <f>H184</f>
        <v>0</v>
      </c>
    </row>
    <row r="185" spans="1:9" ht="15">
      <c r="A185" s="77" t="s">
        <v>391</v>
      </c>
      <c r="B185" s="177" t="s">
        <v>199</v>
      </c>
      <c r="C185" s="184"/>
      <c r="D185" s="184"/>
      <c r="E185" s="210" t="s">
        <v>200</v>
      </c>
      <c r="F185" s="173">
        <f>I185</f>
        <v>2502518.99</v>
      </c>
      <c r="G185" s="156">
        <f>G197</f>
        <v>300000</v>
      </c>
      <c r="H185" s="156">
        <f>H186</f>
        <v>2202518.99</v>
      </c>
      <c r="I185" s="156">
        <f>G185+H185</f>
        <v>2502518.99</v>
      </c>
    </row>
    <row r="186" spans="1:9" ht="12.75">
      <c r="A186" s="77" t="s">
        <v>391</v>
      </c>
      <c r="B186" s="78" t="s">
        <v>199</v>
      </c>
      <c r="C186" s="153" t="s">
        <v>423</v>
      </c>
      <c r="D186" s="81"/>
      <c r="E186" s="150" t="s">
        <v>424</v>
      </c>
      <c r="F186" s="144"/>
      <c r="G186" s="80"/>
      <c r="H186" s="80">
        <f>H187+H196</f>
        <v>2202518.99</v>
      </c>
      <c r="I186" s="80">
        <f>I187+I196</f>
        <v>2202518.99</v>
      </c>
    </row>
    <row r="187" spans="1:9" ht="12.75">
      <c r="A187" s="77" t="s">
        <v>391</v>
      </c>
      <c r="B187" s="78" t="s">
        <v>199</v>
      </c>
      <c r="C187" s="153" t="s">
        <v>423</v>
      </c>
      <c r="D187" s="81">
        <v>200</v>
      </c>
      <c r="E187" s="150" t="s">
        <v>319</v>
      </c>
      <c r="F187" s="144"/>
      <c r="G187" s="80"/>
      <c r="H187" s="80">
        <v>2202518.99</v>
      </c>
      <c r="I187" s="80">
        <f>SUM(G187+H187)</f>
        <v>2202518.99</v>
      </c>
    </row>
    <row r="188" spans="1:9" ht="12.75" hidden="1">
      <c r="A188" s="77"/>
      <c r="B188" s="78"/>
      <c r="C188" s="153"/>
      <c r="D188" s="81"/>
      <c r="E188" s="192" t="s">
        <v>582</v>
      </c>
      <c r="F188" s="144"/>
      <c r="G188" s="80"/>
      <c r="H188" s="80"/>
      <c r="I188" s="80"/>
    </row>
    <row r="189" spans="1:9" ht="12.75" hidden="1">
      <c r="A189" s="77"/>
      <c r="B189" s="78"/>
      <c r="C189" s="153"/>
      <c r="D189" s="81"/>
      <c r="E189" s="149" t="s">
        <v>665</v>
      </c>
      <c r="F189" s="144">
        <v>900000</v>
      </c>
      <c r="G189" s="80"/>
      <c r="H189" s="80"/>
      <c r="I189" s="80"/>
    </row>
    <row r="190" spans="1:9" ht="12.75" hidden="1">
      <c r="A190" s="77"/>
      <c r="B190" s="78"/>
      <c r="C190" s="153"/>
      <c r="D190" s="81"/>
      <c r="E190" s="149" t="s">
        <v>583</v>
      </c>
      <c r="F190" s="144">
        <v>245000</v>
      </c>
      <c r="G190" s="80"/>
      <c r="H190" s="80"/>
      <c r="I190" s="80"/>
    </row>
    <row r="191" spans="1:9" ht="12.75" hidden="1">
      <c r="A191" s="77"/>
      <c r="B191" s="78"/>
      <c r="C191" s="153"/>
      <c r="D191" s="81"/>
      <c r="E191" s="149" t="s">
        <v>584</v>
      </c>
      <c r="F191" s="144">
        <v>60000</v>
      </c>
      <c r="G191" s="80"/>
      <c r="H191" s="80"/>
      <c r="I191" s="80"/>
    </row>
    <row r="192" spans="1:9" ht="12.75" hidden="1">
      <c r="A192" s="77"/>
      <c r="B192" s="78"/>
      <c r="C192" s="153"/>
      <c r="D192" s="81"/>
      <c r="E192" s="149" t="s">
        <v>607</v>
      </c>
      <c r="F192" s="144">
        <v>500000</v>
      </c>
      <c r="G192" s="80"/>
      <c r="H192" s="80"/>
      <c r="I192" s="80"/>
    </row>
    <row r="193" spans="1:9" ht="12.75" hidden="1">
      <c r="A193" s="77"/>
      <c r="B193" s="78"/>
      <c r="C193" s="153"/>
      <c r="D193" s="81"/>
      <c r="E193" s="149" t="s">
        <v>668</v>
      </c>
      <c r="F193" s="144">
        <v>20000</v>
      </c>
      <c r="G193" s="80"/>
      <c r="H193" s="80"/>
      <c r="I193" s="80"/>
    </row>
    <row r="194" spans="1:9" ht="12.75" hidden="1">
      <c r="A194" s="77"/>
      <c r="B194" s="78"/>
      <c r="C194" s="153"/>
      <c r="D194" s="81"/>
      <c r="E194" s="149" t="s">
        <v>663</v>
      </c>
      <c r="F194" s="144">
        <v>120000</v>
      </c>
      <c r="G194" s="80"/>
      <c r="H194" s="80"/>
      <c r="I194" s="80"/>
    </row>
    <row r="195" spans="1:9" ht="12.75" hidden="1">
      <c r="A195" s="77"/>
      <c r="B195" s="78"/>
      <c r="C195" s="153"/>
      <c r="D195" s="81"/>
      <c r="E195" s="149" t="s">
        <v>664</v>
      </c>
      <c r="F195" s="144">
        <v>176000</v>
      </c>
      <c r="G195" s="80"/>
      <c r="H195" s="80"/>
      <c r="I195" s="80"/>
    </row>
    <row r="196" spans="1:9" ht="12.75">
      <c r="A196" s="77" t="s">
        <v>391</v>
      </c>
      <c r="B196" s="78" t="s">
        <v>199</v>
      </c>
      <c r="C196" s="153" t="s">
        <v>423</v>
      </c>
      <c r="D196" s="81">
        <v>800</v>
      </c>
      <c r="E196" s="150" t="s">
        <v>274</v>
      </c>
      <c r="F196" s="144"/>
      <c r="G196" s="80"/>
      <c r="H196" s="80"/>
      <c r="I196" s="80">
        <f>H196</f>
        <v>0</v>
      </c>
    </row>
    <row r="197" spans="1:9" ht="39">
      <c r="A197" s="77" t="s">
        <v>391</v>
      </c>
      <c r="B197" s="78" t="s">
        <v>199</v>
      </c>
      <c r="C197" s="155" t="s">
        <v>468</v>
      </c>
      <c r="D197" s="79"/>
      <c r="E197" s="150" t="s">
        <v>312</v>
      </c>
      <c r="F197" s="144"/>
      <c r="G197" s="80">
        <f>G198+G199</f>
        <v>300000</v>
      </c>
      <c r="H197" s="80"/>
      <c r="I197" s="80">
        <f>G197</f>
        <v>300000</v>
      </c>
    </row>
    <row r="198" spans="1:9" ht="12.75">
      <c r="A198" s="77" t="s">
        <v>391</v>
      </c>
      <c r="B198" s="78" t="s">
        <v>199</v>
      </c>
      <c r="C198" s="155" t="s">
        <v>468</v>
      </c>
      <c r="D198" s="81">
        <v>200</v>
      </c>
      <c r="E198" s="150" t="s">
        <v>319</v>
      </c>
      <c r="F198" s="144"/>
      <c r="G198" s="80">
        <v>240000</v>
      </c>
      <c r="H198" s="80"/>
      <c r="I198" s="80">
        <f>G198</f>
        <v>240000</v>
      </c>
    </row>
    <row r="199" spans="1:9" ht="12.75">
      <c r="A199" s="77" t="s">
        <v>391</v>
      </c>
      <c r="B199" s="78" t="s">
        <v>199</v>
      </c>
      <c r="C199" s="155" t="s">
        <v>468</v>
      </c>
      <c r="D199" s="81">
        <v>400</v>
      </c>
      <c r="E199" s="189" t="s">
        <v>420</v>
      </c>
      <c r="F199" s="190"/>
      <c r="G199" s="80">
        <v>60000</v>
      </c>
      <c r="H199" s="80"/>
      <c r="I199" s="80">
        <f>G199</f>
        <v>60000</v>
      </c>
    </row>
    <row r="200" spans="1:9" ht="12.75" hidden="1">
      <c r="A200" s="77"/>
      <c r="B200" s="78"/>
      <c r="C200" s="155"/>
      <c r="D200" s="79"/>
      <c r="E200" s="193" t="s">
        <v>608</v>
      </c>
      <c r="F200" s="190"/>
      <c r="G200" s="80"/>
      <c r="H200" s="80"/>
      <c r="I200" s="80"/>
    </row>
    <row r="201" spans="1:9" ht="12.75" hidden="1">
      <c r="A201" s="77"/>
      <c r="B201" s="78"/>
      <c r="C201" s="155"/>
      <c r="D201" s="79"/>
      <c r="E201" s="193" t="s">
        <v>609</v>
      </c>
      <c r="F201" s="190"/>
      <c r="G201" s="80"/>
      <c r="H201" s="80"/>
      <c r="I201" s="80"/>
    </row>
    <row r="202" spans="1:9" ht="12.75" hidden="1">
      <c r="A202" s="77"/>
      <c r="B202" s="78"/>
      <c r="C202" s="155"/>
      <c r="D202" s="79"/>
      <c r="E202" s="193" t="s">
        <v>610</v>
      </c>
      <c r="F202" s="190"/>
      <c r="G202" s="80"/>
      <c r="H202" s="80"/>
      <c r="I202" s="80"/>
    </row>
    <row r="203" spans="1:9" ht="12.75" hidden="1">
      <c r="A203" s="77"/>
      <c r="B203" s="78"/>
      <c r="C203" s="155"/>
      <c r="D203" s="79"/>
      <c r="E203" s="193" t="s">
        <v>611</v>
      </c>
      <c r="F203" s="190"/>
      <c r="G203" s="80"/>
      <c r="H203" s="80"/>
      <c r="I203" s="80"/>
    </row>
    <row r="204" spans="1:10" ht="15">
      <c r="A204" s="77" t="s">
        <v>391</v>
      </c>
      <c r="B204" s="177" t="s">
        <v>201</v>
      </c>
      <c r="C204" s="184"/>
      <c r="D204" s="78"/>
      <c r="E204" s="210" t="s">
        <v>202</v>
      </c>
      <c r="F204" s="173">
        <f>I204</f>
        <v>45085432.69</v>
      </c>
      <c r="G204" s="156">
        <f>G205+G207+G218+G236+G243+G245+G252+G254+G263+G267</f>
        <v>26266059</v>
      </c>
      <c r="H204" s="156">
        <f>H207+H218+H245+H236+H250+H254+H265+H269</f>
        <v>18819373.689999998</v>
      </c>
      <c r="I204" s="156">
        <f>G204+H204</f>
        <v>45085432.69</v>
      </c>
      <c r="J204" s="148">
        <f>41403834.58-I204</f>
        <v>-3681598.1099999994</v>
      </c>
    </row>
    <row r="205" spans="1:9" ht="26.25">
      <c r="A205" s="77" t="s">
        <v>391</v>
      </c>
      <c r="B205" s="78" t="s">
        <v>201</v>
      </c>
      <c r="C205" s="184" t="s">
        <v>469</v>
      </c>
      <c r="D205" s="78"/>
      <c r="E205" s="210" t="s">
        <v>458</v>
      </c>
      <c r="F205" s="144"/>
      <c r="G205" s="80">
        <f>G206</f>
        <v>156156</v>
      </c>
      <c r="H205" s="156"/>
      <c r="I205" s="80">
        <f>G205</f>
        <v>156156</v>
      </c>
    </row>
    <row r="206" spans="1:9" ht="12.75">
      <c r="A206" s="77" t="s">
        <v>391</v>
      </c>
      <c r="B206" s="78" t="s">
        <v>201</v>
      </c>
      <c r="C206" s="184" t="s">
        <v>469</v>
      </c>
      <c r="D206" s="81">
        <v>200</v>
      </c>
      <c r="E206" s="150" t="s">
        <v>319</v>
      </c>
      <c r="F206" s="144"/>
      <c r="G206" s="80">
        <v>156156</v>
      </c>
      <c r="H206" s="156"/>
      <c r="I206" s="80">
        <f>G206</f>
        <v>156156</v>
      </c>
    </row>
    <row r="207" spans="1:9" ht="12.75">
      <c r="A207" s="77" t="s">
        <v>391</v>
      </c>
      <c r="B207" s="78" t="s">
        <v>201</v>
      </c>
      <c r="C207" s="153" t="s">
        <v>426</v>
      </c>
      <c r="D207" s="81"/>
      <c r="E207" s="150" t="s">
        <v>317</v>
      </c>
      <c r="F207" s="144"/>
      <c r="G207" s="80"/>
      <c r="H207" s="80">
        <f>H208+H217</f>
        <v>5813458.46</v>
      </c>
      <c r="I207" s="80">
        <f>I208+I217</f>
        <v>5813458.46</v>
      </c>
    </row>
    <row r="208" spans="1:9" ht="12.75">
      <c r="A208" s="77" t="s">
        <v>391</v>
      </c>
      <c r="B208" s="78" t="s">
        <v>201</v>
      </c>
      <c r="C208" s="153" t="s">
        <v>426</v>
      </c>
      <c r="D208" s="81">
        <v>200</v>
      </c>
      <c r="E208" s="150" t="s">
        <v>319</v>
      </c>
      <c r="F208" s="144"/>
      <c r="G208" s="80"/>
      <c r="H208" s="80">
        <f>5697436.8+96021.66</f>
        <v>5793458.46</v>
      </c>
      <c r="I208" s="80">
        <f>SUM(G208+H208)</f>
        <v>5793458.46</v>
      </c>
    </row>
    <row r="209" spans="1:9" ht="12.75" hidden="1">
      <c r="A209" s="281" t="s">
        <v>547</v>
      </c>
      <c r="B209" s="249"/>
      <c r="C209" s="249"/>
      <c r="D209" s="250"/>
      <c r="E209" s="149" t="s">
        <v>586</v>
      </c>
      <c r="F209" s="144">
        <v>3000000</v>
      </c>
      <c r="G209" s="80"/>
      <c r="H209" s="80"/>
      <c r="I209" s="80"/>
    </row>
    <row r="210" spans="1:9" ht="12.75" hidden="1">
      <c r="A210" s="251"/>
      <c r="B210" s="252"/>
      <c r="C210" s="252"/>
      <c r="D210" s="253"/>
      <c r="E210" s="149" t="s">
        <v>585</v>
      </c>
      <c r="F210" s="144">
        <v>300000</v>
      </c>
      <c r="G210" s="80"/>
      <c r="H210" s="80"/>
      <c r="I210" s="80"/>
    </row>
    <row r="211" spans="1:9" ht="12.75" hidden="1">
      <c r="A211" s="251"/>
      <c r="B211" s="252"/>
      <c r="C211" s="252"/>
      <c r="D211" s="253"/>
      <c r="E211" s="149" t="s">
        <v>622</v>
      </c>
      <c r="F211" s="144">
        <v>400000</v>
      </c>
      <c r="G211" s="80"/>
      <c r="H211" s="80"/>
      <c r="I211" s="80"/>
    </row>
    <row r="212" spans="1:9" ht="12.75" hidden="1">
      <c r="A212" s="251"/>
      <c r="B212" s="252"/>
      <c r="C212" s="252"/>
      <c r="D212" s="253"/>
      <c r="E212" s="149" t="s">
        <v>615</v>
      </c>
      <c r="F212" s="144">
        <v>75000</v>
      </c>
      <c r="G212" s="80"/>
      <c r="H212" s="80"/>
      <c r="I212" s="80"/>
    </row>
    <row r="213" spans="1:9" ht="12.75" hidden="1">
      <c r="A213" s="251"/>
      <c r="B213" s="252"/>
      <c r="C213" s="252"/>
      <c r="D213" s="253"/>
      <c r="E213" s="149" t="s">
        <v>616</v>
      </c>
      <c r="F213" s="144">
        <v>300000</v>
      </c>
      <c r="G213" s="80"/>
      <c r="H213" s="80"/>
      <c r="I213" s="80"/>
    </row>
    <row r="214" spans="1:9" ht="12.75" hidden="1">
      <c r="A214" s="251"/>
      <c r="B214" s="252"/>
      <c r="C214" s="252"/>
      <c r="D214" s="253"/>
      <c r="E214" s="149" t="s">
        <v>618</v>
      </c>
      <c r="F214" s="144">
        <v>130000</v>
      </c>
      <c r="G214" s="80"/>
      <c r="H214" s="80"/>
      <c r="I214" s="80"/>
    </row>
    <row r="215" spans="1:9" ht="12.75" hidden="1">
      <c r="A215" s="251"/>
      <c r="B215" s="252"/>
      <c r="C215" s="252"/>
      <c r="D215" s="253"/>
      <c r="E215" s="149" t="s">
        <v>617</v>
      </c>
      <c r="F215" s="144">
        <v>450000</v>
      </c>
      <c r="G215" s="80"/>
      <c r="H215" s="80"/>
      <c r="I215" s="80"/>
    </row>
    <row r="216" spans="1:9" ht="12.75" hidden="1">
      <c r="A216" s="254"/>
      <c r="B216" s="255"/>
      <c r="C216" s="255"/>
      <c r="D216" s="256"/>
      <c r="E216" s="149" t="s">
        <v>619</v>
      </c>
      <c r="F216" s="144">
        <v>100000</v>
      </c>
      <c r="G216" s="80"/>
      <c r="H216" s="80"/>
      <c r="I216" s="80"/>
    </row>
    <row r="217" spans="1:9" ht="12.75">
      <c r="A217" s="77" t="s">
        <v>391</v>
      </c>
      <c r="B217" s="78" t="s">
        <v>201</v>
      </c>
      <c r="C217" s="153" t="s">
        <v>426</v>
      </c>
      <c r="D217" s="81">
        <v>800</v>
      </c>
      <c r="E217" s="149" t="s">
        <v>274</v>
      </c>
      <c r="F217" s="144">
        <v>20000</v>
      </c>
      <c r="G217" s="80"/>
      <c r="H217" s="80">
        <f>5000+15000</f>
        <v>20000</v>
      </c>
      <c r="I217" s="80">
        <f>H217</f>
        <v>20000</v>
      </c>
    </row>
    <row r="218" spans="1:9" ht="12.75">
      <c r="A218" s="77" t="s">
        <v>391</v>
      </c>
      <c r="B218" s="78" t="s">
        <v>201</v>
      </c>
      <c r="C218" s="153" t="s">
        <v>427</v>
      </c>
      <c r="D218" s="81"/>
      <c r="E218" s="150" t="s">
        <v>320</v>
      </c>
      <c r="F218" s="144">
        <f>I218</f>
        <v>7205380.78</v>
      </c>
      <c r="G218" s="80"/>
      <c r="H218" s="80">
        <f>H219</f>
        <v>7205380.78</v>
      </c>
      <c r="I218" s="80">
        <f>SUM(G218+H218)</f>
        <v>7205380.78</v>
      </c>
    </row>
    <row r="219" spans="1:9" ht="12.75">
      <c r="A219" s="77" t="s">
        <v>391</v>
      </c>
      <c r="B219" s="78" t="s">
        <v>201</v>
      </c>
      <c r="C219" s="153" t="s">
        <v>427</v>
      </c>
      <c r="D219" s="81">
        <v>200</v>
      </c>
      <c r="E219" s="150" t="s">
        <v>319</v>
      </c>
      <c r="F219" s="144"/>
      <c r="G219" s="80"/>
      <c r="H219" s="80">
        <f>6986250.78+100000+15450+103680</f>
        <v>7205380.78</v>
      </c>
      <c r="I219" s="80">
        <f>SUM(G219+H219)</f>
        <v>7205380.78</v>
      </c>
    </row>
    <row r="220" spans="1:9" ht="12.75" hidden="1">
      <c r="A220" s="281" t="s">
        <v>547</v>
      </c>
      <c r="B220" s="249"/>
      <c r="C220" s="249"/>
      <c r="D220" s="250"/>
      <c r="E220" s="149" t="s">
        <v>604</v>
      </c>
      <c r="F220" s="144">
        <f>3100000-219130</f>
        <v>2880870</v>
      </c>
      <c r="G220" s="80"/>
      <c r="H220" s="80"/>
      <c r="I220" s="80"/>
    </row>
    <row r="221" spans="1:9" ht="12.75" hidden="1">
      <c r="A221" s="251"/>
      <c r="B221" s="252"/>
      <c r="C221" s="252"/>
      <c r="D221" s="253"/>
      <c r="E221" s="179" t="s">
        <v>631</v>
      </c>
      <c r="F221" s="144">
        <v>500000</v>
      </c>
      <c r="G221" s="80"/>
      <c r="H221" s="80"/>
      <c r="I221" s="80"/>
    </row>
    <row r="222" spans="1:9" ht="12.75" hidden="1">
      <c r="A222" s="251"/>
      <c r="B222" s="252"/>
      <c r="C222" s="252"/>
      <c r="D222" s="253"/>
      <c r="E222" s="179" t="s">
        <v>614</v>
      </c>
      <c r="F222" s="144">
        <v>75000</v>
      </c>
      <c r="G222" s="80"/>
      <c r="H222" s="80"/>
      <c r="I222" s="80"/>
    </row>
    <row r="223" spans="1:9" ht="12.75" hidden="1">
      <c r="A223" s="251"/>
      <c r="B223" s="252"/>
      <c r="C223" s="252"/>
      <c r="D223" s="253"/>
      <c r="E223" s="149" t="s">
        <v>656</v>
      </c>
      <c r="F223" s="144">
        <v>400000</v>
      </c>
      <c r="G223" s="80"/>
      <c r="H223" s="80"/>
      <c r="I223" s="80"/>
    </row>
    <row r="224" spans="1:9" ht="12.75" hidden="1">
      <c r="A224" s="251"/>
      <c r="B224" s="252"/>
      <c r="C224" s="252"/>
      <c r="D224" s="253"/>
      <c r="E224" s="149" t="s">
        <v>661</v>
      </c>
      <c r="F224" s="144">
        <v>108000</v>
      </c>
      <c r="G224" s="80"/>
      <c r="H224" s="80"/>
      <c r="I224" s="80"/>
    </row>
    <row r="225" spans="1:9" ht="12.75" hidden="1">
      <c r="A225" s="251"/>
      <c r="B225" s="252"/>
      <c r="C225" s="252"/>
      <c r="D225" s="253"/>
      <c r="E225" s="149" t="s">
        <v>657</v>
      </c>
      <c r="F225" s="144">
        <f>499790.74+8000</f>
        <v>507790.74</v>
      </c>
      <c r="G225" s="80"/>
      <c r="H225" s="80"/>
      <c r="I225" s="80"/>
    </row>
    <row r="226" spans="1:9" ht="12.75" hidden="1">
      <c r="A226" s="251"/>
      <c r="B226" s="252"/>
      <c r="C226" s="252"/>
      <c r="D226" s="253"/>
      <c r="E226" s="149" t="s">
        <v>666</v>
      </c>
      <c r="F226" s="144">
        <v>90000</v>
      </c>
      <c r="G226" s="80"/>
      <c r="H226" s="80"/>
      <c r="I226" s="80"/>
    </row>
    <row r="227" spans="1:9" ht="12.75" hidden="1">
      <c r="A227" s="251"/>
      <c r="B227" s="252"/>
      <c r="C227" s="252"/>
      <c r="D227" s="253"/>
      <c r="E227" s="149" t="s">
        <v>658</v>
      </c>
      <c r="F227" s="144">
        <v>30000</v>
      </c>
      <c r="G227" s="80"/>
      <c r="H227" s="80"/>
      <c r="I227" s="80"/>
    </row>
    <row r="228" spans="1:9" ht="12.75" hidden="1">
      <c r="A228" s="251"/>
      <c r="B228" s="252"/>
      <c r="C228" s="252"/>
      <c r="D228" s="253"/>
      <c r="E228" s="149" t="s">
        <v>639</v>
      </c>
      <c r="F228" s="144">
        <v>344000</v>
      </c>
      <c r="G228" s="80"/>
      <c r="H228" s="80"/>
      <c r="I228" s="80"/>
    </row>
    <row r="229" spans="1:9" ht="12.75" hidden="1">
      <c r="A229" s="251"/>
      <c r="B229" s="252"/>
      <c r="C229" s="252"/>
      <c r="D229" s="253"/>
      <c r="E229" s="149" t="s">
        <v>654</v>
      </c>
      <c r="F229" s="144">
        <v>200000</v>
      </c>
      <c r="G229" s="80"/>
      <c r="H229" s="80"/>
      <c r="I229" s="80"/>
    </row>
    <row r="230" spans="1:9" ht="26.25" hidden="1">
      <c r="A230" s="251"/>
      <c r="B230" s="252"/>
      <c r="C230" s="252"/>
      <c r="D230" s="253"/>
      <c r="E230" s="149" t="s">
        <v>649</v>
      </c>
      <c r="F230" s="144">
        <v>30000</v>
      </c>
      <c r="G230" s="80"/>
      <c r="H230" s="80"/>
      <c r="I230" s="80"/>
    </row>
    <row r="231" spans="1:9" ht="12.75" hidden="1">
      <c r="A231" s="251"/>
      <c r="B231" s="252"/>
      <c r="C231" s="252"/>
      <c r="D231" s="253"/>
      <c r="E231" s="149" t="s">
        <v>653</v>
      </c>
      <c r="F231" s="144">
        <v>150000</v>
      </c>
      <c r="G231" s="80"/>
      <c r="H231" s="80"/>
      <c r="I231" s="80"/>
    </row>
    <row r="232" spans="1:9" ht="12.75" hidden="1">
      <c r="A232" s="251"/>
      <c r="B232" s="252"/>
      <c r="C232" s="252"/>
      <c r="D232" s="253"/>
      <c r="E232" s="149" t="s">
        <v>38</v>
      </c>
      <c r="F232" s="144">
        <v>40000</v>
      </c>
      <c r="G232" s="80"/>
      <c r="H232" s="80"/>
      <c r="I232" s="80"/>
    </row>
    <row r="233" spans="1:9" ht="12.75" hidden="1">
      <c r="A233" s="251"/>
      <c r="B233" s="252"/>
      <c r="C233" s="252"/>
      <c r="D233" s="253"/>
      <c r="E233" s="149" t="s">
        <v>573</v>
      </c>
      <c r="F233" s="144">
        <v>20000</v>
      </c>
      <c r="G233" s="80"/>
      <c r="H233" s="80"/>
      <c r="I233" s="80"/>
    </row>
    <row r="234" spans="1:9" ht="12.75" hidden="1">
      <c r="A234" s="251"/>
      <c r="B234" s="252"/>
      <c r="C234" s="252"/>
      <c r="D234" s="253"/>
      <c r="E234" s="149" t="s">
        <v>572</v>
      </c>
      <c r="F234" s="144">
        <v>10000</v>
      </c>
      <c r="G234" s="80"/>
      <c r="H234" s="80"/>
      <c r="I234" s="80"/>
    </row>
    <row r="235" spans="1:9" ht="12.75" hidden="1">
      <c r="A235" s="254"/>
      <c r="B235" s="255"/>
      <c r="C235" s="255"/>
      <c r="D235" s="256"/>
      <c r="E235" s="149" t="s">
        <v>39</v>
      </c>
      <c r="F235" s="144">
        <v>120000</v>
      </c>
      <c r="G235" s="80"/>
      <c r="H235" s="80"/>
      <c r="I235" s="80"/>
    </row>
    <row r="236" spans="1:9" ht="26.25">
      <c r="A236" s="77" t="s">
        <v>391</v>
      </c>
      <c r="B236" s="78" t="s">
        <v>201</v>
      </c>
      <c r="C236" s="153" t="s">
        <v>455</v>
      </c>
      <c r="D236" s="81"/>
      <c r="E236" s="150" t="s">
        <v>322</v>
      </c>
      <c r="F236" s="144">
        <f>I236</f>
        <v>798000</v>
      </c>
      <c r="G236" s="80">
        <f>G237</f>
        <v>0</v>
      </c>
      <c r="H236" s="80">
        <f>H237</f>
        <v>798000</v>
      </c>
      <c r="I236" s="80">
        <f>H236</f>
        <v>798000</v>
      </c>
    </row>
    <row r="237" spans="1:9" ht="12.75">
      <c r="A237" s="77" t="s">
        <v>391</v>
      </c>
      <c r="B237" s="78" t="s">
        <v>201</v>
      </c>
      <c r="C237" s="153" t="s">
        <v>455</v>
      </c>
      <c r="D237" s="81">
        <v>200</v>
      </c>
      <c r="E237" s="150" t="s">
        <v>319</v>
      </c>
      <c r="F237" s="144"/>
      <c r="G237" s="80">
        <v>0</v>
      </c>
      <c r="H237" s="80">
        <f>SUM(F238:F242)+258000</f>
        <v>798000</v>
      </c>
      <c r="I237" s="80">
        <f>H237</f>
        <v>798000</v>
      </c>
    </row>
    <row r="238" spans="1:9" ht="12.75" customHeight="1" hidden="1">
      <c r="A238" s="281" t="s">
        <v>547</v>
      </c>
      <c r="B238" s="249"/>
      <c r="C238" s="249"/>
      <c r="D238" s="250"/>
      <c r="E238" s="149" t="s">
        <v>655</v>
      </c>
      <c r="F238" s="144">
        <v>300000</v>
      </c>
      <c r="G238" s="80"/>
      <c r="H238" s="80"/>
      <c r="I238" s="80"/>
    </row>
    <row r="239" spans="1:9" ht="12.75" hidden="1">
      <c r="A239" s="251"/>
      <c r="B239" s="252"/>
      <c r="C239" s="252"/>
      <c r="D239" s="253"/>
      <c r="E239" s="149" t="s">
        <v>592</v>
      </c>
      <c r="F239" s="144">
        <v>170000</v>
      </c>
      <c r="G239" s="80"/>
      <c r="H239" s="80"/>
      <c r="I239" s="80"/>
    </row>
    <row r="240" spans="1:9" ht="12.75" hidden="1">
      <c r="A240" s="254"/>
      <c r="B240" s="255"/>
      <c r="C240" s="255"/>
      <c r="D240" s="256"/>
      <c r="E240" s="149" t="s">
        <v>2</v>
      </c>
      <c r="F240" s="80">
        <v>40000</v>
      </c>
      <c r="G240" s="80"/>
      <c r="H240" s="80"/>
      <c r="I240" s="80"/>
    </row>
    <row r="241" spans="1:9" ht="12.75" hidden="1">
      <c r="A241" s="158"/>
      <c r="B241" s="159"/>
      <c r="C241" s="159"/>
      <c r="D241" s="160"/>
      <c r="E241" s="149" t="s">
        <v>573</v>
      </c>
      <c r="F241" s="80">
        <v>20000</v>
      </c>
      <c r="G241" s="80"/>
      <c r="H241" s="80"/>
      <c r="I241" s="80"/>
    </row>
    <row r="242" spans="1:9" ht="12.75" hidden="1">
      <c r="A242" s="158"/>
      <c r="B242" s="159"/>
      <c r="C242" s="159"/>
      <c r="D242" s="160"/>
      <c r="E242" s="149" t="s">
        <v>572</v>
      </c>
      <c r="F242" s="80">
        <v>10000</v>
      </c>
      <c r="G242" s="80"/>
      <c r="H242" s="80"/>
      <c r="I242" s="80"/>
    </row>
    <row r="243" spans="1:9" ht="12.75">
      <c r="A243" s="77" t="s">
        <v>391</v>
      </c>
      <c r="B243" s="77" t="s">
        <v>201</v>
      </c>
      <c r="C243" s="77" t="s">
        <v>165</v>
      </c>
      <c r="D243" s="77"/>
      <c r="E243" s="149" t="s">
        <v>163</v>
      </c>
      <c r="F243" s="80"/>
      <c r="G243" s="80">
        <f>G244</f>
        <v>550000</v>
      </c>
      <c r="H243" s="80"/>
      <c r="I243" s="80">
        <f>G243</f>
        <v>550000</v>
      </c>
    </row>
    <row r="244" spans="1:9" ht="12.75">
      <c r="A244" s="77" t="s">
        <v>391</v>
      </c>
      <c r="B244" s="78" t="s">
        <v>201</v>
      </c>
      <c r="C244" s="159" t="s">
        <v>165</v>
      </c>
      <c r="D244" s="81">
        <v>200</v>
      </c>
      <c r="E244" s="150" t="s">
        <v>319</v>
      </c>
      <c r="F244" s="80"/>
      <c r="G244" s="80">
        <f>400000+150000</f>
        <v>550000</v>
      </c>
      <c r="H244" s="80"/>
      <c r="I244" s="80">
        <f>G244</f>
        <v>550000</v>
      </c>
    </row>
    <row r="245" spans="1:9" ht="12.75">
      <c r="A245" s="77" t="s">
        <v>391</v>
      </c>
      <c r="B245" s="78" t="s">
        <v>201</v>
      </c>
      <c r="C245" s="153" t="s">
        <v>428</v>
      </c>
      <c r="D245" s="81"/>
      <c r="E245" s="150" t="s">
        <v>328</v>
      </c>
      <c r="F245" s="144">
        <f>I245+219130</f>
        <v>1909776.45</v>
      </c>
      <c r="G245" s="80"/>
      <c r="H245" s="80">
        <f>H246</f>
        <v>1690646.45</v>
      </c>
      <c r="I245" s="80">
        <f>I246</f>
        <v>1690646.45</v>
      </c>
    </row>
    <row r="246" spans="1:9" ht="12.75">
      <c r="A246" s="77" t="s">
        <v>391</v>
      </c>
      <c r="B246" s="78" t="s">
        <v>201</v>
      </c>
      <c r="C246" s="153" t="s">
        <v>428</v>
      </c>
      <c r="D246" s="81">
        <v>200</v>
      </c>
      <c r="E246" s="150" t="s">
        <v>319</v>
      </c>
      <c r="F246" s="144"/>
      <c r="G246" s="80"/>
      <c r="H246" s="80">
        <f>SUM(F247:F249)</f>
        <v>1690646.45</v>
      </c>
      <c r="I246" s="80">
        <f>SUM(G246+H246)</f>
        <v>1690646.45</v>
      </c>
    </row>
    <row r="247" spans="1:9" ht="12.75">
      <c r="A247" s="281" t="s">
        <v>547</v>
      </c>
      <c r="B247" s="249"/>
      <c r="C247" s="250"/>
      <c r="D247" s="79"/>
      <c r="E247" s="149" t="s">
        <v>612</v>
      </c>
      <c r="F247" s="144">
        <f>850000+308446.45</f>
        <v>1158446.45</v>
      </c>
      <c r="G247" s="80"/>
      <c r="H247" s="80"/>
      <c r="I247" s="80"/>
    </row>
    <row r="248" spans="1:9" ht="12.75">
      <c r="A248" s="251"/>
      <c r="B248" s="252"/>
      <c r="C248" s="253"/>
      <c r="D248" s="79"/>
      <c r="E248" s="149" t="s">
        <v>593</v>
      </c>
      <c r="F248" s="144">
        <v>500000</v>
      </c>
      <c r="G248" s="80"/>
      <c r="H248" s="80"/>
      <c r="I248" s="80"/>
    </row>
    <row r="249" spans="1:9" ht="12.75">
      <c r="A249" s="254"/>
      <c r="B249" s="255"/>
      <c r="C249" s="256"/>
      <c r="D249" s="79"/>
      <c r="E249" s="149" t="s">
        <v>613</v>
      </c>
      <c r="F249" s="144">
        <v>32200</v>
      </c>
      <c r="G249" s="80"/>
      <c r="H249" s="80"/>
      <c r="I249" s="80"/>
    </row>
    <row r="250" spans="1:9" ht="12.75">
      <c r="A250" s="77" t="s">
        <v>391</v>
      </c>
      <c r="B250" s="78" t="s">
        <v>201</v>
      </c>
      <c r="C250" s="153" t="s">
        <v>453</v>
      </c>
      <c r="D250" s="79"/>
      <c r="E250" s="150" t="s">
        <v>454</v>
      </c>
      <c r="F250" s="144">
        <f>I250</f>
        <v>66888</v>
      </c>
      <c r="G250" s="80"/>
      <c r="H250" s="80">
        <f>H251</f>
        <v>66888</v>
      </c>
      <c r="I250" s="80">
        <f>H250</f>
        <v>66888</v>
      </c>
    </row>
    <row r="251" spans="1:9" ht="12.75">
      <c r="A251" s="77" t="s">
        <v>391</v>
      </c>
      <c r="B251" s="78" t="s">
        <v>201</v>
      </c>
      <c r="C251" s="153" t="s">
        <v>453</v>
      </c>
      <c r="D251" s="81">
        <v>200</v>
      </c>
      <c r="E251" s="150" t="s">
        <v>319</v>
      </c>
      <c r="F251" s="144"/>
      <c r="G251" s="80"/>
      <c r="H251" s="80">
        <v>66888</v>
      </c>
      <c r="I251" s="80">
        <f>H251</f>
        <v>66888</v>
      </c>
    </row>
    <row r="252" spans="1:9" ht="12.75">
      <c r="A252" s="77" t="s">
        <v>391</v>
      </c>
      <c r="B252" s="78" t="s">
        <v>201</v>
      </c>
      <c r="C252" s="153" t="s">
        <v>459</v>
      </c>
      <c r="D252" s="79"/>
      <c r="E252" s="150" t="s">
        <v>460</v>
      </c>
      <c r="F252" s="144"/>
      <c r="G252" s="80">
        <f>G253</f>
        <v>1270868</v>
      </c>
      <c r="H252" s="80"/>
      <c r="I252" s="80">
        <f>G252</f>
        <v>1270868</v>
      </c>
    </row>
    <row r="253" spans="1:9" ht="12.75">
      <c r="A253" s="77" t="s">
        <v>391</v>
      </c>
      <c r="B253" s="78" t="s">
        <v>201</v>
      </c>
      <c r="C253" s="153" t="s">
        <v>459</v>
      </c>
      <c r="D253" s="81">
        <v>200</v>
      </c>
      <c r="E253" s="150" t="s">
        <v>319</v>
      </c>
      <c r="F253" s="144"/>
      <c r="G253" s="80">
        <v>1270868</v>
      </c>
      <c r="H253" s="80"/>
      <c r="I253" s="80">
        <f>G253</f>
        <v>1270868</v>
      </c>
    </row>
    <row r="254" spans="1:9" ht="12.75">
      <c r="A254" s="77" t="s">
        <v>391</v>
      </c>
      <c r="B254" s="78" t="s">
        <v>201</v>
      </c>
      <c r="C254" s="180" t="s">
        <v>382</v>
      </c>
      <c r="D254" s="79"/>
      <c r="E254" s="150" t="s">
        <v>381</v>
      </c>
      <c r="F254" s="144"/>
      <c r="G254" s="80">
        <f>G255</f>
        <v>6332617</v>
      </c>
      <c r="H254" s="80">
        <f>H255+H262</f>
        <v>3215000</v>
      </c>
      <c r="I254" s="80">
        <f>G254+H254</f>
        <v>9547617</v>
      </c>
    </row>
    <row r="255" spans="1:9" ht="12.75">
      <c r="A255" s="77" t="s">
        <v>391</v>
      </c>
      <c r="B255" s="78" t="s">
        <v>201</v>
      </c>
      <c r="C255" s="180" t="s">
        <v>382</v>
      </c>
      <c r="D255" s="79">
        <v>200</v>
      </c>
      <c r="E255" s="150" t="s">
        <v>319</v>
      </c>
      <c r="F255" s="144"/>
      <c r="G255" s="80">
        <f>4573299+190554+1506013+62751</f>
        <v>6332617</v>
      </c>
      <c r="H255" s="80">
        <v>415000</v>
      </c>
      <c r="I255" s="80">
        <f>G255+H255</f>
        <v>6747617</v>
      </c>
    </row>
    <row r="256" spans="1:9" ht="12.75" hidden="1">
      <c r="A256" s="77"/>
      <c r="B256" s="78"/>
      <c r="C256" s="180"/>
      <c r="D256" s="79"/>
      <c r="E256" s="186" t="s">
        <v>5</v>
      </c>
      <c r="F256" s="185">
        <v>3247093</v>
      </c>
      <c r="G256" s="80"/>
      <c r="H256" s="80">
        <v>165000</v>
      </c>
      <c r="I256" s="80"/>
    </row>
    <row r="257" spans="1:9" ht="12.75" hidden="1">
      <c r="A257" s="77"/>
      <c r="B257" s="78"/>
      <c r="C257" s="180"/>
      <c r="D257" s="79"/>
      <c r="E257" s="149" t="s">
        <v>575</v>
      </c>
      <c r="F257" s="144"/>
      <c r="G257" s="80"/>
      <c r="H257" s="80"/>
      <c r="I257" s="80"/>
    </row>
    <row r="258" spans="1:9" ht="12.75" hidden="1">
      <c r="A258" s="77"/>
      <c r="B258" s="78"/>
      <c r="C258" s="180"/>
      <c r="D258" s="79"/>
      <c r="E258" s="186" t="s">
        <v>6</v>
      </c>
      <c r="F258" s="185">
        <v>2600000</v>
      </c>
      <c r="G258" s="80"/>
      <c r="H258" s="80">
        <v>150000</v>
      </c>
      <c r="I258" s="80"/>
    </row>
    <row r="259" spans="1:9" ht="12.75" hidden="1">
      <c r="A259" s="77"/>
      <c r="B259" s="78"/>
      <c r="C259" s="180"/>
      <c r="D259" s="79"/>
      <c r="E259" s="149" t="s">
        <v>575</v>
      </c>
      <c r="F259" s="144"/>
      <c r="G259" s="80"/>
      <c r="H259" s="80"/>
      <c r="I259" s="80"/>
    </row>
    <row r="260" spans="1:9" ht="12.75" hidden="1">
      <c r="A260" s="77"/>
      <c r="B260" s="78"/>
      <c r="C260" s="180"/>
      <c r="D260" s="79"/>
      <c r="E260" s="186" t="s">
        <v>7</v>
      </c>
      <c r="F260" s="185">
        <v>1600000</v>
      </c>
      <c r="G260" s="80"/>
      <c r="H260" s="80">
        <v>100000</v>
      </c>
      <c r="I260" s="80"/>
    </row>
    <row r="261" spans="1:9" ht="12.75" hidden="1">
      <c r="A261" s="77"/>
      <c r="B261" s="78"/>
      <c r="C261" s="180"/>
      <c r="D261" s="79"/>
      <c r="E261" s="149" t="s">
        <v>575</v>
      </c>
      <c r="F261" s="144"/>
      <c r="G261" s="80"/>
      <c r="H261" s="80"/>
      <c r="I261" s="80"/>
    </row>
    <row r="262" spans="1:9" ht="26.25">
      <c r="A262" s="77" t="s">
        <v>391</v>
      </c>
      <c r="B262" s="78" t="s">
        <v>201</v>
      </c>
      <c r="C262" s="180" t="s">
        <v>172</v>
      </c>
      <c r="D262" s="79">
        <v>200</v>
      </c>
      <c r="E262" s="210" t="s">
        <v>171</v>
      </c>
      <c r="F262" s="144"/>
      <c r="G262" s="80"/>
      <c r="H262" s="80">
        <v>2800000</v>
      </c>
      <c r="I262" s="80">
        <f>H262</f>
        <v>2800000</v>
      </c>
    </row>
    <row r="263" spans="1:9" ht="12.75">
      <c r="A263" s="77" t="s">
        <v>391</v>
      </c>
      <c r="B263" s="78" t="s">
        <v>201</v>
      </c>
      <c r="C263" s="180" t="s">
        <v>493</v>
      </c>
      <c r="D263" s="79"/>
      <c r="E263" s="150" t="s">
        <v>480</v>
      </c>
      <c r="F263" s="144"/>
      <c r="G263" s="80">
        <f>G264</f>
        <v>456418</v>
      </c>
      <c r="H263" s="80"/>
      <c r="I263" s="80">
        <f>I264</f>
        <v>456418</v>
      </c>
    </row>
    <row r="264" spans="1:9" ht="12.75">
      <c r="A264" s="77" t="s">
        <v>391</v>
      </c>
      <c r="B264" s="78" t="s">
        <v>201</v>
      </c>
      <c r="C264" s="180" t="s">
        <v>493</v>
      </c>
      <c r="D264" s="79">
        <v>200</v>
      </c>
      <c r="E264" s="150" t="s">
        <v>319</v>
      </c>
      <c r="F264" s="144"/>
      <c r="G264" s="80">
        <v>456418</v>
      </c>
      <c r="H264" s="80"/>
      <c r="I264" s="80">
        <f>G264</f>
        <v>456418</v>
      </c>
    </row>
    <row r="265" spans="1:9" ht="26.25">
      <c r="A265" s="77" t="s">
        <v>391</v>
      </c>
      <c r="B265" s="78" t="s">
        <v>201</v>
      </c>
      <c r="C265" s="180" t="s">
        <v>494</v>
      </c>
      <c r="D265" s="79"/>
      <c r="E265" s="150" t="s">
        <v>481</v>
      </c>
      <c r="F265" s="144"/>
      <c r="G265" s="80"/>
      <c r="H265" s="80">
        <f>H266</f>
        <v>30000</v>
      </c>
      <c r="I265" s="80">
        <f>H265</f>
        <v>30000</v>
      </c>
    </row>
    <row r="266" spans="1:9" ht="12.75">
      <c r="A266" s="77" t="s">
        <v>391</v>
      </c>
      <c r="B266" s="78" t="s">
        <v>201</v>
      </c>
      <c r="C266" s="180" t="s">
        <v>494</v>
      </c>
      <c r="D266" s="79">
        <v>200</v>
      </c>
      <c r="E266" s="150" t="s">
        <v>319</v>
      </c>
      <c r="F266" s="144"/>
      <c r="G266" s="80"/>
      <c r="H266" s="80">
        <v>30000</v>
      </c>
      <c r="I266" s="80">
        <f>H266</f>
        <v>30000</v>
      </c>
    </row>
    <row r="267" spans="1:9" ht="12.75">
      <c r="A267" s="77" t="s">
        <v>391</v>
      </c>
      <c r="B267" s="78" t="s">
        <v>201</v>
      </c>
      <c r="C267" s="180" t="s">
        <v>156</v>
      </c>
      <c r="D267" s="79"/>
      <c r="E267" s="150" t="s">
        <v>158</v>
      </c>
      <c r="F267" s="144"/>
      <c r="G267" s="80">
        <f>G268</f>
        <v>17500000</v>
      </c>
      <c r="H267" s="80"/>
      <c r="I267" s="80"/>
    </row>
    <row r="268" spans="1:9" ht="12.75">
      <c r="A268" s="77" t="s">
        <v>391</v>
      </c>
      <c r="B268" s="78" t="s">
        <v>201</v>
      </c>
      <c r="C268" s="180" t="s">
        <v>156</v>
      </c>
      <c r="D268" s="79">
        <v>200</v>
      </c>
      <c r="E268" s="150" t="s">
        <v>157</v>
      </c>
      <c r="F268" s="144"/>
      <c r="G268" s="80">
        <v>17500000</v>
      </c>
      <c r="H268" s="80"/>
      <c r="I268" s="80"/>
    </row>
    <row r="269" spans="1:9" ht="12.75">
      <c r="A269" s="77" t="s">
        <v>391</v>
      </c>
      <c r="B269" s="78" t="s">
        <v>201</v>
      </c>
      <c r="C269" s="180" t="s">
        <v>487</v>
      </c>
      <c r="D269" s="79"/>
      <c r="E269" s="150" t="s">
        <v>667</v>
      </c>
      <c r="F269" s="185">
        <f>I269</f>
        <v>0</v>
      </c>
      <c r="G269" s="80"/>
      <c r="H269" s="80">
        <f>H270</f>
        <v>0</v>
      </c>
      <c r="I269" s="80">
        <f>I270</f>
        <v>0</v>
      </c>
    </row>
    <row r="270" spans="1:9" ht="12.75">
      <c r="A270" s="77" t="s">
        <v>391</v>
      </c>
      <c r="B270" s="78" t="s">
        <v>201</v>
      </c>
      <c r="C270" s="180" t="s">
        <v>487</v>
      </c>
      <c r="D270" s="79">
        <v>200</v>
      </c>
      <c r="E270" s="150" t="s">
        <v>489</v>
      </c>
      <c r="F270" s="144"/>
      <c r="G270" s="80"/>
      <c r="H270" s="80">
        <v>0</v>
      </c>
      <c r="I270" s="80">
        <f>H270</f>
        <v>0</v>
      </c>
    </row>
    <row r="271" spans="1:9" ht="12.75" hidden="1">
      <c r="A271" s="281" t="s">
        <v>547</v>
      </c>
      <c r="B271" s="249"/>
      <c r="C271" s="249"/>
      <c r="D271" s="250"/>
      <c r="E271" s="186" t="s">
        <v>40</v>
      </c>
      <c r="F271" s="185">
        <v>360000</v>
      </c>
      <c r="G271" s="80"/>
      <c r="H271" s="80"/>
      <c r="I271" s="80"/>
    </row>
    <row r="272" spans="1:9" ht="12.75" hidden="1">
      <c r="A272" s="251"/>
      <c r="B272" s="252"/>
      <c r="C272" s="252"/>
      <c r="D272" s="253"/>
      <c r="E272" s="149" t="s">
        <v>1</v>
      </c>
      <c r="F272" s="144">
        <f>1200000*10%</f>
        <v>120000</v>
      </c>
      <c r="G272" s="80"/>
      <c r="H272" s="80"/>
      <c r="I272" s="80"/>
    </row>
    <row r="273" spans="1:9" ht="12.75" hidden="1">
      <c r="A273" s="251"/>
      <c r="B273" s="252"/>
      <c r="C273" s="252"/>
      <c r="D273" s="253"/>
      <c r="E273" s="149" t="s">
        <v>575</v>
      </c>
      <c r="F273" s="144">
        <f>1200000*2.14%</f>
        <v>25680.000000000004</v>
      </c>
      <c r="G273" s="80"/>
      <c r="H273" s="80"/>
      <c r="I273" s="80"/>
    </row>
    <row r="274" spans="1:9" ht="26.25" hidden="1">
      <c r="A274" s="251"/>
      <c r="B274" s="252"/>
      <c r="C274" s="252"/>
      <c r="D274" s="253"/>
      <c r="E274" s="186" t="s">
        <v>3</v>
      </c>
      <c r="F274" s="185">
        <v>540000</v>
      </c>
      <c r="G274" s="80"/>
      <c r="H274" s="80"/>
      <c r="I274" s="80"/>
    </row>
    <row r="275" spans="1:9" ht="12.75" hidden="1">
      <c r="A275" s="251"/>
      <c r="B275" s="252"/>
      <c r="C275" s="252"/>
      <c r="D275" s="253"/>
      <c r="E275" s="149" t="s">
        <v>1</v>
      </c>
      <c r="F275" s="144">
        <v>180000</v>
      </c>
      <c r="G275" s="80"/>
      <c r="H275" s="80"/>
      <c r="I275" s="80"/>
    </row>
    <row r="276" spans="1:9" ht="12.75" hidden="1">
      <c r="A276" s="251"/>
      <c r="B276" s="252"/>
      <c r="C276" s="252"/>
      <c r="D276" s="253"/>
      <c r="E276" s="149" t="s">
        <v>575</v>
      </c>
      <c r="F276" s="144">
        <f>1800000*2.14%</f>
        <v>38520.00000000001</v>
      </c>
      <c r="G276" s="80"/>
      <c r="H276" s="80"/>
      <c r="I276" s="80"/>
    </row>
    <row r="277" spans="1:9" ht="26.25" hidden="1">
      <c r="A277" s="251"/>
      <c r="B277" s="252"/>
      <c r="C277" s="252"/>
      <c r="D277" s="253"/>
      <c r="E277" s="186" t="s">
        <v>4</v>
      </c>
      <c r="F277" s="185">
        <v>450000</v>
      </c>
      <c r="G277" s="80"/>
      <c r="H277" s="80"/>
      <c r="I277" s="80"/>
    </row>
    <row r="278" spans="1:9" ht="12.75" hidden="1">
      <c r="A278" s="251"/>
      <c r="B278" s="252"/>
      <c r="C278" s="252"/>
      <c r="D278" s="253"/>
      <c r="E278" s="149" t="s">
        <v>1</v>
      </c>
      <c r="F278" s="144">
        <v>140000</v>
      </c>
      <c r="G278" s="80"/>
      <c r="H278" s="80"/>
      <c r="I278" s="80"/>
    </row>
    <row r="279" spans="1:9" ht="12.75" hidden="1">
      <c r="A279" s="254"/>
      <c r="B279" s="255"/>
      <c r="C279" s="255"/>
      <c r="D279" s="256"/>
      <c r="E279" s="149" t="s">
        <v>575</v>
      </c>
      <c r="F279" s="144">
        <v>30000</v>
      </c>
      <c r="G279" s="80"/>
      <c r="H279" s="80"/>
      <c r="I279" s="80"/>
    </row>
    <row r="280" spans="1:9" ht="15">
      <c r="A280" s="77" t="s">
        <v>391</v>
      </c>
      <c r="B280" s="177" t="s">
        <v>203</v>
      </c>
      <c r="C280" s="153"/>
      <c r="D280" s="81"/>
      <c r="E280" s="151" t="s">
        <v>204</v>
      </c>
      <c r="F280" s="173">
        <f>I280</f>
        <v>9449356.01</v>
      </c>
      <c r="G280" s="156"/>
      <c r="H280" s="156">
        <f>H281</f>
        <v>9449356.01</v>
      </c>
      <c r="I280" s="156">
        <f>G280+H280</f>
        <v>9449356.01</v>
      </c>
    </row>
    <row r="281" spans="1:9" ht="12.75">
      <c r="A281" s="77" t="s">
        <v>391</v>
      </c>
      <c r="B281" s="78" t="s">
        <v>203</v>
      </c>
      <c r="C281" s="153" t="s">
        <v>429</v>
      </c>
      <c r="D281" s="81"/>
      <c r="E281" s="150"/>
      <c r="F281" s="144"/>
      <c r="G281" s="80"/>
      <c r="H281" s="80">
        <f>H282+H284+H300+H299</f>
        <v>9449356.01</v>
      </c>
      <c r="I281" s="80">
        <f>I282+I284+I300</f>
        <v>9399356.01</v>
      </c>
    </row>
    <row r="282" spans="1:9" ht="26.25">
      <c r="A282" s="77" t="s">
        <v>391</v>
      </c>
      <c r="B282" s="78" t="s">
        <v>203</v>
      </c>
      <c r="C282" s="153" t="s">
        <v>429</v>
      </c>
      <c r="D282" s="81">
        <v>100</v>
      </c>
      <c r="E282" s="150" t="s">
        <v>395</v>
      </c>
      <c r="F282" s="144">
        <v>6306612.55</v>
      </c>
      <c r="G282" s="80"/>
      <c r="H282" s="80">
        <f>6306612.55+570000</f>
        <v>6876612.55</v>
      </c>
      <c r="I282" s="80">
        <f>SUM(G282+H282)</f>
        <v>6876612.55</v>
      </c>
    </row>
    <row r="283" spans="1:9" ht="12.75" hidden="1">
      <c r="A283" s="77"/>
      <c r="B283" s="78"/>
      <c r="C283" s="153"/>
      <c r="D283" s="81"/>
      <c r="E283" s="149" t="s">
        <v>594</v>
      </c>
      <c r="F283" s="144"/>
      <c r="G283" s="80"/>
      <c r="H283" s="80"/>
      <c r="I283" s="80"/>
    </row>
    <row r="284" spans="1:9" ht="12.75">
      <c r="A284" s="77" t="s">
        <v>391</v>
      </c>
      <c r="B284" s="78" t="s">
        <v>203</v>
      </c>
      <c r="C284" s="153" t="s">
        <v>429</v>
      </c>
      <c r="D284" s="81">
        <v>200</v>
      </c>
      <c r="E284" s="150" t="s">
        <v>319</v>
      </c>
      <c r="F284" s="144"/>
      <c r="G284" s="80"/>
      <c r="H284" s="80">
        <v>2350733.06</v>
      </c>
      <c r="I284" s="80">
        <f>SUM(G284+H284)</f>
        <v>2350733.06</v>
      </c>
    </row>
    <row r="285" spans="1:9" ht="12.75" hidden="1">
      <c r="A285" s="77"/>
      <c r="B285" s="78"/>
      <c r="C285" s="153"/>
      <c r="D285" s="81"/>
      <c r="E285" s="149" t="s">
        <v>37</v>
      </c>
      <c r="F285" s="144">
        <v>100000</v>
      </c>
      <c r="G285" s="144"/>
      <c r="H285" s="144"/>
      <c r="I285" s="144"/>
    </row>
    <row r="286" spans="1:9" ht="12.75" hidden="1">
      <c r="A286" s="77"/>
      <c r="B286" s="78"/>
      <c r="C286" s="153"/>
      <c r="D286" s="81"/>
      <c r="E286" s="149" t="s">
        <v>620</v>
      </c>
      <c r="F286" s="144">
        <v>300000</v>
      </c>
      <c r="G286" s="144"/>
      <c r="H286" s="144"/>
      <c r="I286" s="144"/>
    </row>
    <row r="287" spans="1:9" ht="12.75" hidden="1">
      <c r="A287" s="77"/>
      <c r="B287" s="78"/>
      <c r="C287" s="153"/>
      <c r="D287" s="81"/>
      <c r="E287" s="149" t="s">
        <v>626</v>
      </c>
      <c r="F287" s="144">
        <v>300000</v>
      </c>
      <c r="G287" s="144"/>
      <c r="H287" s="144"/>
      <c r="I287" s="144"/>
    </row>
    <row r="288" spans="1:9" ht="12.75" hidden="1">
      <c r="A288" s="77"/>
      <c r="B288" s="78"/>
      <c r="C288" s="153"/>
      <c r="D288" s="81"/>
      <c r="E288" s="149" t="s">
        <v>596</v>
      </c>
      <c r="F288" s="144">
        <f>396000+20000</f>
        <v>416000</v>
      </c>
      <c r="G288" s="144"/>
      <c r="H288" s="144"/>
      <c r="I288" s="144"/>
    </row>
    <row r="289" spans="1:9" ht="12.75" hidden="1">
      <c r="A289" s="77"/>
      <c r="B289" s="78"/>
      <c r="C289" s="153"/>
      <c r="D289" s="81"/>
      <c r="E289" s="149" t="s">
        <v>595</v>
      </c>
      <c r="F289" s="144">
        <v>96000</v>
      </c>
      <c r="G289" s="144"/>
      <c r="H289" s="144"/>
      <c r="I289" s="144"/>
    </row>
    <row r="290" spans="1:9" ht="12.75" hidden="1">
      <c r="A290" s="77"/>
      <c r="B290" s="78"/>
      <c r="C290" s="153"/>
      <c r="D290" s="81"/>
      <c r="E290" s="149" t="s">
        <v>597</v>
      </c>
      <c r="F290" s="144">
        <v>12840</v>
      </c>
      <c r="G290" s="144"/>
      <c r="H290" s="144"/>
      <c r="I290" s="144"/>
    </row>
    <row r="291" spans="1:9" ht="12.75" hidden="1">
      <c r="A291" s="77"/>
      <c r="B291" s="78"/>
      <c r="C291" s="153"/>
      <c r="D291" s="81"/>
      <c r="E291" s="149" t="s">
        <v>598</v>
      </c>
      <c r="F291" s="144">
        <v>5542.43</v>
      </c>
      <c r="G291" s="144"/>
      <c r="H291" s="144"/>
      <c r="I291" s="144"/>
    </row>
    <row r="292" spans="1:12" s="197" customFormat="1" ht="12.75" hidden="1">
      <c r="A292" s="194"/>
      <c r="B292" s="195"/>
      <c r="C292" s="153"/>
      <c r="D292" s="168"/>
      <c r="E292" s="179" t="s">
        <v>621</v>
      </c>
      <c r="F292" s="196">
        <v>160000</v>
      </c>
      <c r="G292" s="144"/>
      <c r="H292" s="144"/>
      <c r="I292" s="144"/>
      <c r="K292" s="198"/>
      <c r="L292" s="198"/>
    </row>
    <row r="293" spans="1:12" s="197" customFormat="1" ht="12.75" hidden="1">
      <c r="A293" s="194"/>
      <c r="B293" s="195"/>
      <c r="C293" s="153"/>
      <c r="D293" s="168"/>
      <c r="E293" s="179" t="s">
        <v>627</v>
      </c>
      <c r="F293" s="196">
        <v>100000</v>
      </c>
      <c r="G293" s="144"/>
      <c r="H293" s="144"/>
      <c r="I293" s="144"/>
      <c r="K293" s="198"/>
      <c r="L293" s="198"/>
    </row>
    <row r="294" spans="1:12" s="197" customFormat="1" ht="12.75" hidden="1">
      <c r="A294" s="194"/>
      <c r="B294" s="195"/>
      <c r="C294" s="153"/>
      <c r="D294" s="168"/>
      <c r="E294" s="179" t="s">
        <v>623</v>
      </c>
      <c r="F294" s="196">
        <v>75000</v>
      </c>
      <c r="G294" s="144"/>
      <c r="H294" s="144"/>
      <c r="I294" s="144"/>
      <c r="K294" s="198"/>
      <c r="L294" s="198"/>
    </row>
    <row r="295" spans="1:12" s="197" customFormat="1" ht="12.75" hidden="1">
      <c r="A295" s="194"/>
      <c r="B295" s="195"/>
      <c r="C295" s="153"/>
      <c r="D295" s="168"/>
      <c r="E295" s="149" t="s">
        <v>624</v>
      </c>
      <c r="F295" s="144">
        <v>50000</v>
      </c>
      <c r="G295" s="144"/>
      <c r="H295" s="144"/>
      <c r="I295" s="144"/>
      <c r="K295" s="198"/>
      <c r="L295" s="198"/>
    </row>
    <row r="296" spans="1:12" s="197" customFormat="1" ht="12.75" hidden="1">
      <c r="A296" s="194"/>
      <c r="B296" s="195"/>
      <c r="C296" s="153"/>
      <c r="D296" s="168"/>
      <c r="E296" s="149" t="s">
        <v>660</v>
      </c>
      <c r="F296" s="144">
        <v>60000</v>
      </c>
      <c r="G296" s="144"/>
      <c r="H296" s="144"/>
      <c r="I296" s="144"/>
      <c r="K296" s="198"/>
      <c r="L296" s="198"/>
    </row>
    <row r="297" spans="1:12" s="197" customFormat="1" ht="12.75" hidden="1">
      <c r="A297" s="194"/>
      <c r="B297" s="195"/>
      <c r="C297" s="153"/>
      <c r="D297" s="168"/>
      <c r="E297" s="149" t="s">
        <v>9</v>
      </c>
      <c r="F297" s="144">
        <v>17200</v>
      </c>
      <c r="G297" s="144"/>
      <c r="H297" s="144"/>
      <c r="I297" s="144"/>
      <c r="K297" s="198"/>
      <c r="L297" s="198"/>
    </row>
    <row r="298" spans="1:12" s="197" customFormat="1" ht="12.75" hidden="1">
      <c r="A298" s="194"/>
      <c r="B298" s="195"/>
      <c r="C298" s="153"/>
      <c r="D298" s="168"/>
      <c r="E298" s="149" t="s">
        <v>625</v>
      </c>
      <c r="F298" s="144">
        <v>15000</v>
      </c>
      <c r="G298" s="144"/>
      <c r="H298" s="144"/>
      <c r="I298" s="144"/>
      <c r="K298" s="198"/>
      <c r="L298" s="198"/>
    </row>
    <row r="299" spans="1:12" s="197" customFormat="1" ht="26.25">
      <c r="A299" s="77" t="s">
        <v>391</v>
      </c>
      <c r="B299" s="78" t="s">
        <v>203</v>
      </c>
      <c r="C299" s="153" t="s">
        <v>170</v>
      </c>
      <c r="D299" s="81">
        <v>200</v>
      </c>
      <c r="E299" s="149" t="s">
        <v>171</v>
      </c>
      <c r="F299" s="144"/>
      <c r="G299" s="144"/>
      <c r="H299" s="144">
        <v>50000</v>
      </c>
      <c r="I299" s="144">
        <f>H299</f>
        <v>50000</v>
      </c>
      <c r="K299" s="198"/>
      <c r="L299" s="198"/>
    </row>
    <row r="300" spans="1:9" ht="12.75">
      <c r="A300" s="77" t="s">
        <v>391</v>
      </c>
      <c r="B300" s="78" t="s">
        <v>203</v>
      </c>
      <c r="C300" s="153" t="s">
        <v>429</v>
      </c>
      <c r="D300" s="81">
        <v>800</v>
      </c>
      <c r="E300" s="150" t="s">
        <v>274</v>
      </c>
      <c r="F300" s="144"/>
      <c r="G300" s="80"/>
      <c r="H300" s="80">
        <f>SUM(F301:F303)</f>
        <v>172010.4</v>
      </c>
      <c r="I300" s="80">
        <f>SUM(G300+H300)</f>
        <v>172010.4</v>
      </c>
    </row>
    <row r="301" spans="1:9" ht="12.75" hidden="1">
      <c r="A301" s="77"/>
      <c r="B301" s="78"/>
      <c r="C301" s="155"/>
      <c r="D301" s="79"/>
      <c r="E301" s="149" t="s">
        <v>599</v>
      </c>
      <c r="F301" s="144">
        <f>47449.6+111000</f>
        <v>158449.6</v>
      </c>
      <c r="G301" s="80"/>
      <c r="H301" s="80"/>
      <c r="I301" s="80"/>
    </row>
    <row r="302" spans="1:9" ht="12.75" hidden="1">
      <c r="A302" s="77"/>
      <c r="B302" s="78"/>
      <c r="C302" s="155"/>
      <c r="D302" s="79"/>
      <c r="E302" s="149" t="s">
        <v>600</v>
      </c>
      <c r="F302" s="144">
        <v>7840.8</v>
      </c>
      <c r="G302" s="80"/>
      <c r="H302" s="80"/>
      <c r="I302" s="80"/>
    </row>
    <row r="303" spans="1:9" ht="12.75" hidden="1">
      <c r="A303" s="77"/>
      <c r="B303" s="78"/>
      <c r="C303" s="155"/>
      <c r="D303" s="79"/>
      <c r="E303" s="149" t="s">
        <v>567</v>
      </c>
      <c r="F303" s="144">
        <v>5720</v>
      </c>
      <c r="G303" s="80"/>
      <c r="H303" s="80"/>
      <c r="I303" s="80"/>
    </row>
    <row r="304" spans="1:9" ht="12.75" hidden="1">
      <c r="A304" s="77"/>
      <c r="B304" s="78"/>
      <c r="C304" s="155"/>
      <c r="D304" s="79"/>
      <c r="E304" s="150"/>
      <c r="F304" s="144"/>
      <c r="G304" s="80"/>
      <c r="H304" s="80"/>
      <c r="I304" s="80"/>
    </row>
    <row r="305" spans="1:9" ht="15">
      <c r="A305" s="77" t="s">
        <v>391</v>
      </c>
      <c r="B305" s="177" t="s">
        <v>205</v>
      </c>
      <c r="C305" s="183"/>
      <c r="D305" s="183"/>
      <c r="E305" s="151" t="s">
        <v>206</v>
      </c>
      <c r="F305" s="173">
        <f>F306+F317</f>
        <v>172000</v>
      </c>
      <c r="G305" s="156">
        <f>G317</f>
        <v>0</v>
      </c>
      <c r="H305" s="156">
        <f>H306+H317</f>
        <v>172000</v>
      </c>
      <c r="I305" s="156">
        <f>I306+I317</f>
        <v>172000</v>
      </c>
    </row>
    <row r="306" spans="1:12" s="199" customFormat="1" ht="12.75">
      <c r="A306" s="174" t="s">
        <v>391</v>
      </c>
      <c r="B306" s="177" t="s">
        <v>496</v>
      </c>
      <c r="C306" s="183"/>
      <c r="D306" s="183"/>
      <c r="E306" s="151" t="s">
        <v>495</v>
      </c>
      <c r="F306" s="156">
        <f>I306</f>
        <v>72000</v>
      </c>
      <c r="G306" s="156"/>
      <c r="H306" s="156">
        <f>H307+H313</f>
        <v>72000</v>
      </c>
      <c r="I306" s="156">
        <f>H306</f>
        <v>72000</v>
      </c>
      <c r="K306" s="200"/>
      <c r="L306" s="200"/>
    </row>
    <row r="307" spans="1:9" ht="12.75">
      <c r="A307" s="77" t="s">
        <v>391</v>
      </c>
      <c r="B307" s="78" t="s">
        <v>496</v>
      </c>
      <c r="C307" s="184" t="s">
        <v>327</v>
      </c>
      <c r="D307" s="184"/>
      <c r="E307" s="150" t="s">
        <v>326</v>
      </c>
      <c r="F307" s="80"/>
      <c r="G307" s="80"/>
      <c r="H307" s="80">
        <f>H308</f>
        <v>24000</v>
      </c>
      <c r="I307" s="80">
        <f>I308</f>
        <v>24000</v>
      </c>
    </row>
    <row r="308" spans="1:9" ht="12.75">
      <c r="A308" s="77" t="s">
        <v>391</v>
      </c>
      <c r="B308" s="78" t="s">
        <v>496</v>
      </c>
      <c r="C308" s="184" t="s">
        <v>327</v>
      </c>
      <c r="D308" s="81">
        <v>200</v>
      </c>
      <c r="E308" s="150" t="s">
        <v>319</v>
      </c>
      <c r="F308" s="80"/>
      <c r="G308" s="80"/>
      <c r="H308" s="80">
        <f>SUM(F310:F311)</f>
        <v>24000</v>
      </c>
      <c r="I308" s="80">
        <f>H308</f>
        <v>24000</v>
      </c>
    </row>
    <row r="309" spans="1:9" ht="12.75" hidden="1">
      <c r="A309" s="77"/>
      <c r="B309" s="78"/>
      <c r="C309" s="184"/>
      <c r="D309" s="79"/>
      <c r="E309" s="149" t="s">
        <v>601</v>
      </c>
      <c r="F309" s="80"/>
      <c r="G309" s="80"/>
      <c r="H309" s="80"/>
      <c r="I309" s="80"/>
    </row>
    <row r="310" spans="1:9" ht="12.75" hidden="1">
      <c r="A310" s="77"/>
      <c r="B310" s="78"/>
      <c r="C310" s="184"/>
      <c r="D310" s="79"/>
      <c r="E310" s="149" t="s">
        <v>602</v>
      </c>
      <c r="F310" s="80">
        <v>0</v>
      </c>
      <c r="G310" s="80"/>
      <c r="H310" s="80"/>
      <c r="I310" s="80"/>
    </row>
    <row r="311" spans="1:9" ht="12.75" hidden="1">
      <c r="A311" s="77"/>
      <c r="B311" s="78"/>
      <c r="C311" s="184"/>
      <c r="D311" s="201"/>
      <c r="E311" s="149" t="s">
        <v>644</v>
      </c>
      <c r="F311" s="144">
        <f>2*12000</f>
        <v>24000</v>
      </c>
      <c r="G311" s="80"/>
      <c r="H311" s="80"/>
      <c r="I311" s="80"/>
    </row>
    <row r="312" spans="1:9" ht="12.75" hidden="1">
      <c r="A312" s="77"/>
      <c r="B312" s="78"/>
      <c r="C312" s="184"/>
      <c r="D312" s="201"/>
      <c r="E312" s="150"/>
      <c r="F312" s="144"/>
      <c r="G312" s="80"/>
      <c r="H312" s="80"/>
      <c r="I312" s="80"/>
    </row>
    <row r="313" spans="1:9" ht="12.75">
      <c r="A313" s="77" t="s">
        <v>391</v>
      </c>
      <c r="B313" s="78" t="s">
        <v>496</v>
      </c>
      <c r="C313" s="184" t="s">
        <v>343</v>
      </c>
      <c r="D313" s="195"/>
      <c r="E313" s="150" t="s">
        <v>497</v>
      </c>
      <c r="F313" s="144"/>
      <c r="G313" s="80"/>
      <c r="H313" s="80">
        <f>H314</f>
        <v>48000</v>
      </c>
      <c r="I313" s="80">
        <f>H313</f>
        <v>48000</v>
      </c>
    </row>
    <row r="314" spans="1:9" ht="12.75">
      <c r="A314" s="77" t="s">
        <v>391</v>
      </c>
      <c r="B314" s="78" t="s">
        <v>496</v>
      </c>
      <c r="C314" s="184" t="s">
        <v>343</v>
      </c>
      <c r="D314" s="168">
        <v>200</v>
      </c>
      <c r="E314" s="150" t="s">
        <v>319</v>
      </c>
      <c r="F314" s="144"/>
      <c r="G314" s="80"/>
      <c r="H314" s="80">
        <f>SUM(F316)</f>
        <v>48000</v>
      </c>
      <c r="I314" s="80">
        <f>H314</f>
        <v>48000</v>
      </c>
    </row>
    <row r="315" spans="1:9" ht="12.75" hidden="1">
      <c r="A315" s="77"/>
      <c r="B315" s="78"/>
      <c r="C315" s="184"/>
      <c r="D315" s="201"/>
      <c r="E315" s="149" t="s">
        <v>601</v>
      </c>
      <c r="F315" s="144"/>
      <c r="G315" s="80"/>
      <c r="H315" s="80"/>
      <c r="I315" s="80"/>
    </row>
    <row r="316" spans="1:9" ht="12.75" hidden="1">
      <c r="A316" s="77"/>
      <c r="B316" s="78"/>
      <c r="C316" s="184"/>
      <c r="D316" s="201"/>
      <c r="E316" s="149" t="s">
        <v>645</v>
      </c>
      <c r="F316" s="144">
        <f>4*12000</f>
        <v>48000</v>
      </c>
      <c r="G316" s="80"/>
      <c r="H316" s="80"/>
      <c r="I316" s="80"/>
    </row>
    <row r="317" spans="1:12" s="199" customFormat="1" ht="12.75">
      <c r="A317" s="174" t="s">
        <v>391</v>
      </c>
      <c r="B317" s="174" t="s">
        <v>207</v>
      </c>
      <c r="C317" s="202"/>
      <c r="D317" s="203"/>
      <c r="E317" s="213" t="s">
        <v>430</v>
      </c>
      <c r="F317" s="185">
        <f>H317</f>
        <v>100000</v>
      </c>
      <c r="G317" s="156">
        <f>G318</f>
        <v>0</v>
      </c>
      <c r="H317" s="156">
        <f>H318</f>
        <v>100000</v>
      </c>
      <c r="I317" s="156">
        <f>I318</f>
        <v>100000</v>
      </c>
      <c r="K317" s="200"/>
      <c r="L317" s="200"/>
    </row>
    <row r="318" spans="1:9" ht="12.75">
      <c r="A318" s="77" t="s">
        <v>391</v>
      </c>
      <c r="B318" s="77" t="s">
        <v>207</v>
      </c>
      <c r="C318" s="153" t="s">
        <v>431</v>
      </c>
      <c r="D318" s="168"/>
      <c r="E318" s="150" t="s">
        <v>229</v>
      </c>
      <c r="F318" s="144"/>
      <c r="G318" s="80"/>
      <c r="H318" s="80">
        <f>H319</f>
        <v>100000</v>
      </c>
      <c r="I318" s="80">
        <f>I319</f>
        <v>100000</v>
      </c>
    </row>
    <row r="319" spans="1:9" ht="12.75">
      <c r="A319" s="77" t="s">
        <v>391</v>
      </c>
      <c r="B319" s="77" t="s">
        <v>207</v>
      </c>
      <c r="C319" s="153" t="s">
        <v>431</v>
      </c>
      <c r="D319" s="81">
        <v>200</v>
      </c>
      <c r="E319" s="150" t="s">
        <v>319</v>
      </c>
      <c r="F319" s="144"/>
      <c r="G319" s="80"/>
      <c r="H319" s="80">
        <f>SUM(F320:F321)</f>
        <v>100000</v>
      </c>
      <c r="I319" s="80">
        <f>SUM(G319+H319)</f>
        <v>100000</v>
      </c>
    </row>
    <row r="320" spans="1:9" ht="12.75" hidden="1">
      <c r="A320" s="77"/>
      <c r="B320" s="77"/>
      <c r="C320" s="153"/>
      <c r="D320" s="81"/>
      <c r="E320" s="149" t="s">
        <v>628</v>
      </c>
      <c r="F320" s="144">
        <v>50000</v>
      </c>
      <c r="G320" s="80"/>
      <c r="H320" s="80"/>
      <c r="I320" s="80"/>
    </row>
    <row r="321" spans="1:9" ht="12.75" hidden="1">
      <c r="A321" s="77"/>
      <c r="B321" s="77"/>
      <c r="C321" s="153"/>
      <c r="D321" s="81"/>
      <c r="E321" s="149" t="s">
        <v>603</v>
      </c>
      <c r="F321" s="144">
        <v>50000</v>
      </c>
      <c r="G321" s="80"/>
      <c r="H321" s="80"/>
      <c r="I321" s="80"/>
    </row>
    <row r="322" spans="1:9" ht="15">
      <c r="A322" s="77" t="s">
        <v>391</v>
      </c>
      <c r="B322" s="174" t="s">
        <v>208</v>
      </c>
      <c r="C322" s="182"/>
      <c r="D322" s="182"/>
      <c r="E322" s="151" t="s">
        <v>432</v>
      </c>
      <c r="F322" s="157">
        <f>F328</f>
        <v>1795575</v>
      </c>
      <c r="G322" s="156">
        <f>G323</f>
        <v>0</v>
      </c>
      <c r="H322" s="156">
        <f>H323</f>
        <v>1795575</v>
      </c>
      <c r="I322" s="156">
        <f>I323</f>
        <v>1795575</v>
      </c>
    </row>
    <row r="323" spans="1:9" ht="12.75">
      <c r="A323" s="77" t="s">
        <v>391</v>
      </c>
      <c r="B323" s="177" t="s">
        <v>209</v>
      </c>
      <c r="C323" s="184"/>
      <c r="D323" s="184"/>
      <c r="E323" s="210" t="s">
        <v>210</v>
      </c>
      <c r="F323" s="80"/>
      <c r="G323" s="156">
        <f>G324+G330+G331+G332</f>
        <v>0</v>
      </c>
      <c r="H323" s="156">
        <f>H324+H330+H332</f>
        <v>1795575</v>
      </c>
      <c r="I323" s="156">
        <f>I324+I330+I332</f>
        <v>1795575</v>
      </c>
    </row>
    <row r="324" spans="1:9" ht="12.75">
      <c r="A324" s="77" t="s">
        <v>391</v>
      </c>
      <c r="B324" s="78" t="s">
        <v>209</v>
      </c>
      <c r="C324" s="153" t="s">
        <v>271</v>
      </c>
      <c r="D324" s="81"/>
      <c r="E324" s="150" t="s">
        <v>270</v>
      </c>
      <c r="F324" s="144"/>
      <c r="G324" s="80">
        <f>G325</f>
        <v>0</v>
      </c>
      <c r="H324" s="80">
        <f>H328</f>
        <v>1795575</v>
      </c>
      <c r="I324" s="80">
        <f>I325+I326+I327+I328+I329</f>
        <v>1795575</v>
      </c>
    </row>
    <row r="325" spans="1:9" ht="26.25" hidden="1">
      <c r="A325" s="77" t="s">
        <v>391</v>
      </c>
      <c r="B325" s="78" t="s">
        <v>209</v>
      </c>
      <c r="C325" s="153" t="s">
        <v>433</v>
      </c>
      <c r="D325" s="81">
        <v>100</v>
      </c>
      <c r="E325" s="150" t="s">
        <v>395</v>
      </c>
      <c r="F325" s="144"/>
      <c r="G325" s="80"/>
      <c r="H325" s="80">
        <v>0</v>
      </c>
      <c r="I325" s="80">
        <f>SUM(G325+H325)</f>
        <v>0</v>
      </c>
    </row>
    <row r="326" spans="1:9" ht="12.75" hidden="1">
      <c r="A326" s="77" t="s">
        <v>391</v>
      </c>
      <c r="B326" s="78" t="s">
        <v>209</v>
      </c>
      <c r="C326" s="153" t="s">
        <v>433</v>
      </c>
      <c r="D326" s="81">
        <v>200</v>
      </c>
      <c r="E326" s="150" t="s">
        <v>319</v>
      </c>
      <c r="F326" s="144"/>
      <c r="G326" s="80"/>
      <c r="H326" s="80">
        <v>0</v>
      </c>
      <c r="I326" s="80">
        <f>SUM(G326+H326)</f>
        <v>0</v>
      </c>
    </row>
    <row r="327" spans="1:9" ht="12.75" hidden="1">
      <c r="A327" s="77" t="s">
        <v>391</v>
      </c>
      <c r="B327" s="78" t="s">
        <v>209</v>
      </c>
      <c r="C327" s="153" t="s">
        <v>433</v>
      </c>
      <c r="D327" s="81">
        <v>300</v>
      </c>
      <c r="E327" s="150" t="s">
        <v>243</v>
      </c>
      <c r="F327" s="144"/>
      <c r="G327" s="80"/>
      <c r="H327" s="80">
        <v>0</v>
      </c>
      <c r="I327" s="80">
        <f>SUM(G327+H327)</f>
        <v>0</v>
      </c>
    </row>
    <row r="328" spans="1:9" ht="12.75">
      <c r="A328" s="77" t="s">
        <v>391</v>
      </c>
      <c r="B328" s="78" t="s">
        <v>209</v>
      </c>
      <c r="C328" s="153" t="s">
        <v>605</v>
      </c>
      <c r="D328" s="81">
        <v>500</v>
      </c>
      <c r="E328" s="150" t="s">
        <v>273</v>
      </c>
      <c r="F328" s="80">
        <v>1795575</v>
      </c>
      <c r="G328" s="80"/>
      <c r="H328" s="80">
        <v>1795575</v>
      </c>
      <c r="I328" s="80">
        <f>H328</f>
        <v>1795575</v>
      </c>
    </row>
    <row r="329" spans="1:9" ht="12.75" hidden="1">
      <c r="A329" s="77" t="s">
        <v>391</v>
      </c>
      <c r="B329" s="78" t="s">
        <v>209</v>
      </c>
      <c r="C329" s="153" t="s">
        <v>433</v>
      </c>
      <c r="D329" s="81">
        <v>800</v>
      </c>
      <c r="E329" s="150" t="s">
        <v>274</v>
      </c>
      <c r="F329" s="144"/>
      <c r="G329" s="80"/>
      <c r="H329" s="80">
        <v>0</v>
      </c>
      <c r="I329" s="80">
        <f>SUM(G329+H329)</f>
        <v>0</v>
      </c>
    </row>
    <row r="330" spans="1:9" ht="12.75" hidden="1">
      <c r="A330" s="77" t="s">
        <v>391</v>
      </c>
      <c r="B330" s="78" t="s">
        <v>209</v>
      </c>
      <c r="C330" s="153" t="s">
        <v>434</v>
      </c>
      <c r="D330" s="81"/>
      <c r="E330" s="150" t="s">
        <v>435</v>
      </c>
      <c r="F330" s="144"/>
      <c r="G330" s="80"/>
      <c r="H330" s="80">
        <f>H331</f>
        <v>0</v>
      </c>
      <c r="I330" s="80">
        <f>G330+H330</f>
        <v>0</v>
      </c>
    </row>
    <row r="331" spans="1:9" ht="12.75" hidden="1">
      <c r="A331" s="77" t="s">
        <v>391</v>
      </c>
      <c r="B331" s="78" t="s">
        <v>209</v>
      </c>
      <c r="C331" s="153" t="s">
        <v>434</v>
      </c>
      <c r="D331" s="81">
        <v>200</v>
      </c>
      <c r="E331" s="150" t="s">
        <v>319</v>
      </c>
      <c r="F331" s="144"/>
      <c r="G331" s="80"/>
      <c r="H331" s="80">
        <v>0</v>
      </c>
      <c r="I331" s="80">
        <f>G331+H331</f>
        <v>0</v>
      </c>
    </row>
    <row r="332" spans="1:9" ht="12.75" hidden="1">
      <c r="A332" s="77" t="s">
        <v>391</v>
      </c>
      <c r="B332" s="78" t="s">
        <v>209</v>
      </c>
      <c r="C332" s="153" t="s">
        <v>436</v>
      </c>
      <c r="D332" s="81"/>
      <c r="E332" s="150" t="s">
        <v>279</v>
      </c>
      <c r="F332" s="144"/>
      <c r="G332" s="80">
        <f>G333</f>
        <v>0</v>
      </c>
      <c r="H332" s="80">
        <v>0</v>
      </c>
      <c r="I332" s="80">
        <f>I333</f>
        <v>0</v>
      </c>
    </row>
    <row r="333" spans="1:9" ht="12.75" hidden="1">
      <c r="A333" s="77" t="s">
        <v>391</v>
      </c>
      <c r="B333" s="78" t="s">
        <v>209</v>
      </c>
      <c r="C333" s="153" t="s">
        <v>436</v>
      </c>
      <c r="D333" s="81">
        <v>200</v>
      </c>
      <c r="E333" s="150" t="s">
        <v>319</v>
      </c>
      <c r="F333" s="144"/>
      <c r="G333" s="80"/>
      <c r="H333" s="80">
        <v>0</v>
      </c>
      <c r="I333" s="80">
        <f>SUM(G333+H333)</f>
        <v>0</v>
      </c>
    </row>
    <row r="334" spans="1:9" ht="15">
      <c r="A334" s="77" t="s">
        <v>391</v>
      </c>
      <c r="B334" s="177" t="s">
        <v>211</v>
      </c>
      <c r="C334" s="183"/>
      <c r="D334" s="183"/>
      <c r="E334" s="151" t="s">
        <v>212</v>
      </c>
      <c r="F334" s="173">
        <f>F335+F343+F345+F351+F353</f>
        <v>2060426</v>
      </c>
      <c r="G334" s="156">
        <f>G335+G338</f>
        <v>1324616</v>
      </c>
      <c r="H334" s="156">
        <f>H335+H338</f>
        <v>1320800</v>
      </c>
      <c r="I334" s="156">
        <f>I335+I338</f>
        <v>2645416</v>
      </c>
    </row>
    <row r="335" spans="1:9" ht="12.75">
      <c r="A335" s="77" t="s">
        <v>391</v>
      </c>
      <c r="B335" s="177" t="s">
        <v>213</v>
      </c>
      <c r="C335" s="153"/>
      <c r="D335" s="81"/>
      <c r="E335" s="210" t="s">
        <v>214</v>
      </c>
      <c r="F335" s="80">
        <f>H335</f>
        <v>200000</v>
      </c>
      <c r="G335" s="156">
        <f>G336</f>
        <v>0</v>
      </c>
      <c r="H335" s="156">
        <f>H336</f>
        <v>200000</v>
      </c>
      <c r="I335" s="156">
        <f>I336</f>
        <v>200000</v>
      </c>
    </row>
    <row r="336" spans="1:9" ht="12.75">
      <c r="A336" s="77" t="s">
        <v>391</v>
      </c>
      <c r="B336" s="78" t="s">
        <v>213</v>
      </c>
      <c r="C336" s="153" t="s">
        <v>437</v>
      </c>
      <c r="D336" s="81"/>
      <c r="E336" s="150" t="s">
        <v>244</v>
      </c>
      <c r="F336" s="144"/>
      <c r="G336" s="156"/>
      <c r="H336" s="80">
        <f>H337</f>
        <v>200000</v>
      </c>
      <c r="I336" s="80">
        <f>I337</f>
        <v>200000</v>
      </c>
    </row>
    <row r="337" spans="1:9" ht="12.75">
      <c r="A337" s="77" t="s">
        <v>391</v>
      </c>
      <c r="B337" s="78" t="s">
        <v>213</v>
      </c>
      <c r="C337" s="153" t="s">
        <v>437</v>
      </c>
      <c r="D337" s="81">
        <v>300</v>
      </c>
      <c r="E337" s="150" t="s">
        <v>243</v>
      </c>
      <c r="F337" s="145"/>
      <c r="G337" s="156"/>
      <c r="H337" s="80">
        <v>200000</v>
      </c>
      <c r="I337" s="80">
        <f>SUM(G337+H337)</f>
        <v>200000</v>
      </c>
    </row>
    <row r="338" spans="1:9" ht="12.75">
      <c r="A338" s="174" t="s">
        <v>391</v>
      </c>
      <c r="B338" s="177" t="s">
        <v>215</v>
      </c>
      <c r="C338" s="202"/>
      <c r="D338" s="204"/>
      <c r="E338" s="213" t="s">
        <v>216</v>
      </c>
      <c r="F338" s="156">
        <f>F343+F351+F353+F345</f>
        <v>1860426</v>
      </c>
      <c r="G338" s="156">
        <f>G341+G343+G345</f>
        <v>1324616</v>
      </c>
      <c r="H338" s="156">
        <f>H343+H345+H351+H353</f>
        <v>1120800</v>
      </c>
      <c r="I338" s="156">
        <f>G338+H338</f>
        <v>2445416</v>
      </c>
    </row>
    <row r="339" spans="1:9" ht="26.25">
      <c r="A339" s="77" t="s">
        <v>391</v>
      </c>
      <c r="B339" s="78" t="s">
        <v>215</v>
      </c>
      <c r="C339" s="153" t="s">
        <v>438</v>
      </c>
      <c r="D339" s="81"/>
      <c r="E339" s="150" t="s">
        <v>439</v>
      </c>
      <c r="F339" s="144"/>
      <c r="G339" s="80"/>
      <c r="H339" s="80">
        <v>0</v>
      </c>
      <c r="I339" s="80">
        <f>SUM(G339+H339)</f>
        <v>0</v>
      </c>
    </row>
    <row r="340" spans="1:9" ht="12.75">
      <c r="A340" s="77" t="s">
        <v>391</v>
      </c>
      <c r="B340" s="78" t="s">
        <v>215</v>
      </c>
      <c r="C340" s="153" t="s">
        <v>440</v>
      </c>
      <c r="D340" s="81"/>
      <c r="E340" s="150" t="s">
        <v>441</v>
      </c>
      <c r="F340" s="144"/>
      <c r="G340" s="80"/>
      <c r="H340" s="80">
        <v>0</v>
      </c>
      <c r="I340" s="80">
        <f>SUM(G340+H340)</f>
        <v>0</v>
      </c>
    </row>
    <row r="341" spans="1:9" ht="12.75">
      <c r="A341" s="77" t="s">
        <v>391</v>
      </c>
      <c r="B341" s="78" t="s">
        <v>215</v>
      </c>
      <c r="C341" s="153" t="s">
        <v>456</v>
      </c>
      <c r="D341" s="81"/>
      <c r="E341" s="150" t="s">
        <v>444</v>
      </c>
      <c r="F341" s="144"/>
      <c r="G341" s="80">
        <f>G342</f>
        <v>0</v>
      </c>
      <c r="H341" s="80"/>
      <c r="I341" s="80"/>
    </row>
    <row r="342" spans="1:9" ht="12.75">
      <c r="A342" s="77" t="s">
        <v>391</v>
      </c>
      <c r="B342" s="78" t="s">
        <v>215</v>
      </c>
      <c r="C342" s="153" t="s">
        <v>456</v>
      </c>
      <c r="D342" s="81">
        <v>200</v>
      </c>
      <c r="E342" s="150" t="s">
        <v>319</v>
      </c>
      <c r="F342" s="144"/>
      <c r="G342" s="80">
        <v>0</v>
      </c>
      <c r="H342" s="80"/>
      <c r="I342" s="80"/>
    </row>
    <row r="343" spans="1:9" ht="12.75">
      <c r="A343" s="77" t="s">
        <v>391</v>
      </c>
      <c r="B343" s="78" t="s">
        <v>215</v>
      </c>
      <c r="C343" s="153" t="s">
        <v>251</v>
      </c>
      <c r="D343" s="81"/>
      <c r="E343" s="150" t="s">
        <v>27</v>
      </c>
      <c r="F343" s="80">
        <f>F344</f>
        <v>1448426</v>
      </c>
      <c r="G343" s="80">
        <f>G344</f>
        <v>1263416</v>
      </c>
      <c r="H343" s="80">
        <f>H344</f>
        <v>770000</v>
      </c>
      <c r="I343" s="80">
        <f>H343+G343</f>
        <v>2033416</v>
      </c>
    </row>
    <row r="344" spans="1:9" ht="12.75">
      <c r="A344" s="77" t="s">
        <v>391</v>
      </c>
      <c r="B344" s="78" t="s">
        <v>215</v>
      </c>
      <c r="C344" s="153" t="s">
        <v>251</v>
      </c>
      <c r="D344" s="79">
        <v>300</v>
      </c>
      <c r="E344" s="150" t="s">
        <v>243</v>
      </c>
      <c r="F344" s="145">
        <f>678426+H344</f>
        <v>1448426</v>
      </c>
      <c r="G344" s="80">
        <f>899997+494087-130668</f>
        <v>1263416</v>
      </c>
      <c r="H344" s="80">
        <v>770000</v>
      </c>
      <c r="I344" s="80">
        <f>G344+H344</f>
        <v>2033416</v>
      </c>
    </row>
    <row r="345" spans="1:9" ht="12.75">
      <c r="A345" s="77" t="s">
        <v>391</v>
      </c>
      <c r="B345" s="78" t="s">
        <v>215</v>
      </c>
      <c r="C345" s="153" t="s">
        <v>253</v>
      </c>
      <c r="D345" s="79"/>
      <c r="E345" s="150" t="s">
        <v>26</v>
      </c>
      <c r="F345" s="145">
        <f>I345</f>
        <v>102000</v>
      </c>
      <c r="G345" s="80">
        <f>G349</f>
        <v>61200</v>
      </c>
      <c r="H345" s="80">
        <f>H346</f>
        <v>40800</v>
      </c>
      <c r="I345" s="80">
        <f>G345+H345</f>
        <v>102000</v>
      </c>
    </row>
    <row r="346" spans="1:9" ht="26.25">
      <c r="A346" s="77" t="s">
        <v>391</v>
      </c>
      <c r="B346" s="78" t="s">
        <v>215</v>
      </c>
      <c r="C346" s="153" t="s">
        <v>255</v>
      </c>
      <c r="D346" s="79"/>
      <c r="E346" s="150" t="s">
        <v>254</v>
      </c>
      <c r="F346" s="145"/>
      <c r="G346" s="80">
        <f>G349</f>
        <v>61200</v>
      </c>
      <c r="H346" s="80">
        <f>H347</f>
        <v>40800</v>
      </c>
      <c r="I346" s="80">
        <f>G346+H346</f>
        <v>102000</v>
      </c>
    </row>
    <row r="347" spans="1:9" ht="26.25">
      <c r="A347" s="77" t="s">
        <v>391</v>
      </c>
      <c r="B347" s="78" t="s">
        <v>215</v>
      </c>
      <c r="C347" s="153" t="s">
        <v>256</v>
      </c>
      <c r="D347" s="79"/>
      <c r="E347" s="150" t="s">
        <v>25</v>
      </c>
      <c r="F347" s="145"/>
      <c r="G347" s="80"/>
      <c r="H347" s="80">
        <f>H348</f>
        <v>40800</v>
      </c>
      <c r="I347" s="80">
        <f>H347</f>
        <v>40800</v>
      </c>
    </row>
    <row r="348" spans="1:9" ht="12.75">
      <c r="A348" s="77" t="s">
        <v>391</v>
      </c>
      <c r="B348" s="78" t="s">
        <v>215</v>
      </c>
      <c r="C348" s="153" t="s">
        <v>256</v>
      </c>
      <c r="D348" s="79">
        <v>300</v>
      </c>
      <c r="E348" s="150" t="s">
        <v>243</v>
      </c>
      <c r="F348" s="145"/>
      <c r="G348" s="80"/>
      <c r="H348" s="80">
        <v>40800</v>
      </c>
      <c r="I348" s="80">
        <f>H348</f>
        <v>40800</v>
      </c>
    </row>
    <row r="349" spans="1:9" ht="12.75">
      <c r="A349" s="77" t="s">
        <v>391</v>
      </c>
      <c r="B349" s="78" t="s">
        <v>215</v>
      </c>
      <c r="C349" s="155" t="s">
        <v>258</v>
      </c>
      <c r="D349" s="79"/>
      <c r="E349" s="150" t="s">
        <v>442</v>
      </c>
      <c r="F349" s="145"/>
      <c r="G349" s="80">
        <f>G350</f>
        <v>61200</v>
      </c>
      <c r="H349" s="80"/>
      <c r="I349" s="80">
        <f>G349</f>
        <v>61200</v>
      </c>
    </row>
    <row r="350" spans="1:9" ht="12.75">
      <c r="A350" s="77" t="s">
        <v>391</v>
      </c>
      <c r="B350" s="78" t="s">
        <v>215</v>
      </c>
      <c r="C350" s="155" t="s">
        <v>258</v>
      </c>
      <c r="D350" s="79">
        <v>300</v>
      </c>
      <c r="E350" s="150" t="s">
        <v>243</v>
      </c>
      <c r="F350" s="145"/>
      <c r="G350" s="80">
        <v>61200</v>
      </c>
      <c r="H350" s="80"/>
      <c r="I350" s="80">
        <f>G350</f>
        <v>61200</v>
      </c>
    </row>
    <row r="351" spans="1:9" ht="12.75">
      <c r="A351" s="77" t="s">
        <v>391</v>
      </c>
      <c r="B351" s="78" t="s">
        <v>215</v>
      </c>
      <c r="C351" s="155" t="s">
        <v>443</v>
      </c>
      <c r="D351" s="79"/>
      <c r="E351" s="150" t="s">
        <v>444</v>
      </c>
      <c r="F351" s="144">
        <f>H351</f>
        <v>280000</v>
      </c>
      <c r="G351" s="80"/>
      <c r="H351" s="80">
        <f>H352</f>
        <v>280000</v>
      </c>
      <c r="I351" s="80">
        <f>I352</f>
        <v>280000</v>
      </c>
    </row>
    <row r="352" spans="1:9" ht="12.75">
      <c r="A352" s="77" t="s">
        <v>391</v>
      </c>
      <c r="B352" s="78" t="s">
        <v>215</v>
      </c>
      <c r="C352" s="155" t="s">
        <v>443</v>
      </c>
      <c r="D352" s="81">
        <v>200</v>
      </c>
      <c r="E352" s="150" t="s">
        <v>319</v>
      </c>
      <c r="F352" s="144"/>
      <c r="G352" s="80"/>
      <c r="H352" s="80">
        <v>280000</v>
      </c>
      <c r="I352" s="80">
        <f>H352</f>
        <v>280000</v>
      </c>
    </row>
    <row r="353" spans="1:9" ht="12.75">
      <c r="A353" s="77" t="s">
        <v>391</v>
      </c>
      <c r="B353" s="78" t="s">
        <v>215</v>
      </c>
      <c r="C353" s="155" t="s">
        <v>445</v>
      </c>
      <c r="D353" s="79"/>
      <c r="E353" s="150" t="s">
        <v>241</v>
      </c>
      <c r="F353" s="144">
        <f>H353</f>
        <v>30000</v>
      </c>
      <c r="G353" s="80"/>
      <c r="H353" s="80">
        <f>H354</f>
        <v>30000</v>
      </c>
      <c r="I353" s="80">
        <f>I354</f>
        <v>30000</v>
      </c>
    </row>
    <row r="354" spans="1:9" ht="12.75">
      <c r="A354" s="77" t="s">
        <v>391</v>
      </c>
      <c r="B354" s="78" t="s">
        <v>215</v>
      </c>
      <c r="C354" s="155" t="s">
        <v>445</v>
      </c>
      <c r="D354" s="79">
        <v>300</v>
      </c>
      <c r="E354" s="150" t="s">
        <v>243</v>
      </c>
      <c r="F354" s="144"/>
      <c r="G354" s="80"/>
      <c r="H354" s="80">
        <v>30000</v>
      </c>
      <c r="I354" s="80">
        <f>H354</f>
        <v>30000</v>
      </c>
    </row>
    <row r="355" spans="1:9" ht="12.75">
      <c r="A355" s="77" t="s">
        <v>391</v>
      </c>
      <c r="B355" s="177" t="s">
        <v>217</v>
      </c>
      <c r="C355" s="183"/>
      <c r="D355" s="183"/>
      <c r="E355" s="151" t="s">
        <v>218</v>
      </c>
      <c r="F355" s="156"/>
      <c r="G355" s="156">
        <f>SUM(G356)</f>
        <v>0</v>
      </c>
      <c r="H355" s="156">
        <f>SUM(H356)</f>
        <v>300000</v>
      </c>
      <c r="I355" s="156">
        <f>SUM(I356)</f>
        <v>300000</v>
      </c>
    </row>
    <row r="356" spans="1:9" ht="12.75">
      <c r="A356" s="77" t="s">
        <v>391</v>
      </c>
      <c r="B356" s="174" t="s">
        <v>490</v>
      </c>
      <c r="C356" s="178"/>
      <c r="D356" s="178"/>
      <c r="E356" s="210" t="s">
        <v>491</v>
      </c>
      <c r="F356" s="80"/>
      <c r="G356" s="156">
        <f>G357</f>
        <v>0</v>
      </c>
      <c r="H356" s="156">
        <f>H357</f>
        <v>300000</v>
      </c>
      <c r="I356" s="156">
        <f>I357</f>
        <v>300000</v>
      </c>
    </row>
    <row r="357" spans="1:9" ht="15">
      <c r="A357" s="77" t="s">
        <v>391</v>
      </c>
      <c r="B357" s="77" t="s">
        <v>490</v>
      </c>
      <c r="C357" s="153" t="s">
        <v>446</v>
      </c>
      <c r="D357" s="81"/>
      <c r="E357" s="150" t="s">
        <v>294</v>
      </c>
      <c r="F357" s="173">
        <f>SUM(F359:F360)</f>
        <v>300000</v>
      </c>
      <c r="G357" s="80"/>
      <c r="H357" s="80">
        <f>H358</f>
        <v>300000</v>
      </c>
      <c r="I357" s="80">
        <f>I358</f>
        <v>300000</v>
      </c>
    </row>
    <row r="358" spans="1:9" ht="12.75">
      <c r="A358" s="77" t="s">
        <v>391</v>
      </c>
      <c r="B358" s="77" t="s">
        <v>490</v>
      </c>
      <c r="C358" s="153" t="s">
        <v>446</v>
      </c>
      <c r="D358" s="81">
        <v>200</v>
      </c>
      <c r="E358" s="150" t="s">
        <v>319</v>
      </c>
      <c r="F358" s="144"/>
      <c r="G358" s="80"/>
      <c r="H358" s="80">
        <v>300000</v>
      </c>
      <c r="I358" s="80">
        <f>SUM(G358+H358)</f>
        <v>300000</v>
      </c>
    </row>
    <row r="359" spans="1:9" ht="12.75" hidden="1">
      <c r="A359" s="77"/>
      <c r="B359" s="77"/>
      <c r="C359" s="153"/>
      <c r="D359" s="81"/>
      <c r="E359" s="149" t="s">
        <v>629</v>
      </c>
      <c r="F359" s="144">
        <v>130000</v>
      </c>
      <c r="G359" s="80"/>
      <c r="H359" s="80"/>
      <c r="I359" s="80"/>
    </row>
    <row r="360" spans="1:9" ht="12.75" hidden="1">
      <c r="A360" s="77"/>
      <c r="B360" s="77"/>
      <c r="C360" s="153"/>
      <c r="D360" s="81"/>
      <c r="E360" s="186" t="s">
        <v>630</v>
      </c>
      <c r="F360" s="144">
        <v>170000</v>
      </c>
      <c r="G360" s="80"/>
      <c r="H360" s="80"/>
      <c r="I360" s="80"/>
    </row>
    <row r="361" spans="1:9" ht="12.75" hidden="1">
      <c r="A361" s="77"/>
      <c r="B361" s="77"/>
      <c r="C361" s="153"/>
      <c r="D361" s="81"/>
      <c r="E361" s="186"/>
      <c r="F361" s="144"/>
      <c r="G361" s="80"/>
      <c r="H361" s="80"/>
      <c r="I361" s="80"/>
    </row>
    <row r="362" spans="1:9" ht="12.75" hidden="1">
      <c r="A362" s="77"/>
      <c r="B362" s="77"/>
      <c r="C362" s="153"/>
      <c r="D362" s="81"/>
      <c r="E362" s="150"/>
      <c r="F362" s="144"/>
      <c r="G362" s="80"/>
      <c r="H362" s="80"/>
      <c r="I362" s="80"/>
    </row>
    <row r="363" spans="1:12" s="199" customFormat="1" ht="12.75">
      <c r="A363" s="174"/>
      <c r="B363" s="174" t="s">
        <v>473</v>
      </c>
      <c r="C363" s="202"/>
      <c r="D363" s="204"/>
      <c r="E363" s="151" t="s">
        <v>492</v>
      </c>
      <c r="F363" s="185"/>
      <c r="G363" s="156"/>
      <c r="H363" s="156">
        <f>H365</f>
        <v>40000</v>
      </c>
      <c r="I363" s="156">
        <f>H363</f>
        <v>40000</v>
      </c>
      <c r="K363" s="200"/>
      <c r="L363" s="200"/>
    </row>
    <row r="364" spans="1:9" ht="12.75">
      <c r="A364" s="77"/>
      <c r="B364" s="77" t="s">
        <v>473</v>
      </c>
      <c r="C364" s="153" t="s">
        <v>476</v>
      </c>
      <c r="D364" s="81"/>
      <c r="E364" s="150" t="s">
        <v>477</v>
      </c>
      <c r="F364" s="144"/>
      <c r="G364" s="80"/>
      <c r="H364" s="80">
        <f>H365</f>
        <v>40000</v>
      </c>
      <c r="I364" s="80">
        <f>I365</f>
        <v>40000</v>
      </c>
    </row>
    <row r="365" spans="1:9" ht="12.75">
      <c r="A365" s="77"/>
      <c r="B365" s="77" t="s">
        <v>473</v>
      </c>
      <c r="C365" s="153" t="s">
        <v>476</v>
      </c>
      <c r="D365" s="81">
        <v>700</v>
      </c>
      <c r="E365" s="150" t="s">
        <v>478</v>
      </c>
      <c r="F365" s="144"/>
      <c r="G365" s="80"/>
      <c r="H365" s="80">
        <v>40000</v>
      </c>
      <c r="I365" s="80">
        <f>H365</f>
        <v>40000</v>
      </c>
    </row>
    <row r="366" spans="1:10" ht="12.75">
      <c r="A366" s="205"/>
      <c r="B366" s="174"/>
      <c r="C366" s="182"/>
      <c r="D366" s="182"/>
      <c r="E366" s="151" t="s">
        <v>447</v>
      </c>
      <c r="F366" s="156">
        <f>F357+F334+F322+F305+F163+F94+F82+F77+F11</f>
        <v>98697972.071092</v>
      </c>
      <c r="G366" s="156">
        <f>G11+G77+G82+G94+G163+G305+G322+G334+G355</f>
        <v>41389197.46</v>
      </c>
      <c r="H366" s="156">
        <f>H11+H77+H82+H94+H163+H305+H322+H334+H355+H363</f>
        <v>59143963.559999995</v>
      </c>
      <c r="I366" s="156">
        <f>I11+I77+I82+I94+I163+I305+I322+I334+I355+I365</f>
        <v>100533161.02</v>
      </c>
      <c r="J366" s="148"/>
    </row>
    <row r="367" spans="1:10" ht="13.5">
      <c r="A367" s="205"/>
      <c r="B367" s="81"/>
      <c r="C367" s="153"/>
      <c r="D367" s="81"/>
      <c r="E367" s="206" t="s">
        <v>475</v>
      </c>
      <c r="F367" s="207"/>
      <c r="G367" s="207"/>
      <c r="H367" s="217" t="s">
        <v>42</v>
      </c>
      <c r="I367" s="208">
        <f>-5!E193</f>
        <v>1090374.549999997</v>
      </c>
      <c r="J367" s="148"/>
    </row>
    <row r="368" ht="12.75">
      <c r="I368" s="148"/>
    </row>
    <row r="371" ht="12.75">
      <c r="I371" s="148"/>
    </row>
  </sheetData>
  <sheetProtection/>
  <mergeCells count="24">
    <mergeCell ref="A98:D99"/>
    <mergeCell ref="A61:D63"/>
    <mergeCell ref="A66:D72"/>
    <mergeCell ref="B10:E10"/>
    <mergeCell ref="A51:D58"/>
    <mergeCell ref="A25:D29"/>
    <mergeCell ref="A7:A8"/>
    <mergeCell ref="B7:B8"/>
    <mergeCell ref="G7:I7"/>
    <mergeCell ref="A19:D23"/>
    <mergeCell ref="F7:F8"/>
    <mergeCell ref="C7:C8"/>
    <mergeCell ref="D7:D8"/>
    <mergeCell ref="E7:E8"/>
    <mergeCell ref="F1:I2"/>
    <mergeCell ref="A271:D279"/>
    <mergeCell ref="A247:C249"/>
    <mergeCell ref="A220:D235"/>
    <mergeCell ref="A209:D216"/>
    <mergeCell ref="A86:D90"/>
    <mergeCell ref="A238:D240"/>
    <mergeCell ref="B3:I3"/>
    <mergeCell ref="B4:I4"/>
    <mergeCell ref="B5:I5"/>
  </mergeCells>
  <printOptions horizontalCentered="1" verticalCentered="1"/>
  <pageMargins left="0.03937007874015748" right="0.03937007874015748" top="0.15748031496062992" bottom="0.15748031496062992" header="0.31496062992125984" footer="0.31496062992125984"/>
  <pageSetup horizontalDpi="600" verticalDpi="600" orientation="landscape" paperSize="9" scale="69" r:id="rId1"/>
  <rowBreaks count="4" manualBreakCount="4">
    <brk id="48" max="8" man="1"/>
    <brk id="162" max="8" man="1"/>
    <brk id="217" max="8" man="1"/>
    <brk id="32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="60" zoomScaleNormal="60" zoomScalePageLayoutView="0" workbookViewId="0" topLeftCell="A1">
      <selection activeCell="C2" sqref="C2:D4"/>
    </sheetView>
  </sheetViews>
  <sheetFormatPr defaultColWidth="9.140625" defaultRowHeight="12.75"/>
  <cols>
    <col min="1" max="1" width="5.8515625" style="96" customWidth="1"/>
    <col min="2" max="2" width="21.421875" style="96" customWidth="1"/>
    <col min="3" max="3" width="43.140625" style="96" customWidth="1"/>
    <col min="4" max="4" width="12.7109375" style="96" customWidth="1"/>
    <col min="5" max="5" width="12.28125" style="96" hidden="1" customWidth="1"/>
    <col min="6" max="16384" width="9.140625" style="96" customWidth="1"/>
  </cols>
  <sheetData>
    <row r="1" ht="14.25">
      <c r="D1" s="97"/>
    </row>
    <row r="2" spans="3:4" ht="14.25">
      <c r="C2" s="296" t="s">
        <v>95</v>
      </c>
      <c r="D2" s="295"/>
    </row>
    <row r="3" spans="3:4" ht="14.25">
      <c r="C3" s="295"/>
      <c r="D3" s="295"/>
    </row>
    <row r="4" spans="3:4" ht="14.25">
      <c r="C4" s="295"/>
      <c r="D4" s="295"/>
    </row>
    <row r="5" ht="15">
      <c r="D5" s="98"/>
    </row>
    <row r="6" spans="1:4" ht="14.25">
      <c r="A6" s="294" t="s">
        <v>499</v>
      </c>
      <c r="B6" s="294"/>
      <c r="C6" s="294"/>
      <c r="D6" s="294"/>
    </row>
    <row r="7" spans="1:4" ht="14.25">
      <c r="A7" s="294" t="s">
        <v>500</v>
      </c>
      <c r="B7" s="294"/>
      <c r="C7" s="294"/>
      <c r="D7" s="294"/>
    </row>
    <row r="8" spans="1:4" ht="14.25">
      <c r="A8" s="294" t="s">
        <v>34</v>
      </c>
      <c r="B8" s="294"/>
      <c r="C8" s="294"/>
      <c r="D8" s="294"/>
    </row>
    <row r="10" spans="1:5" ht="26.25">
      <c r="A10" s="99" t="s">
        <v>501</v>
      </c>
      <c r="B10" s="99" t="s">
        <v>502</v>
      </c>
      <c r="C10" s="100" t="s">
        <v>220</v>
      </c>
      <c r="D10" s="99" t="s">
        <v>10</v>
      </c>
      <c r="E10" s="99" t="s">
        <v>503</v>
      </c>
    </row>
    <row r="11" spans="1:5" ht="39">
      <c r="A11" s="101">
        <v>1</v>
      </c>
      <c r="B11" s="102" t="s">
        <v>504</v>
      </c>
      <c r="C11" s="103" t="s">
        <v>505</v>
      </c>
      <c r="D11" s="104">
        <f>D12-D14</f>
        <v>-4000000</v>
      </c>
      <c r="E11" s="99"/>
    </row>
    <row r="12" spans="1:5" ht="39">
      <c r="A12" s="101">
        <v>2</v>
      </c>
      <c r="B12" s="102" t="s">
        <v>506</v>
      </c>
      <c r="C12" s="103" t="s">
        <v>507</v>
      </c>
      <c r="D12" s="104">
        <v>0</v>
      </c>
      <c r="E12" s="99"/>
    </row>
    <row r="13" spans="1:5" ht="20.25">
      <c r="A13" s="101">
        <v>3</v>
      </c>
      <c r="B13" s="102" t="s">
        <v>508</v>
      </c>
      <c r="C13" s="102" t="s">
        <v>509</v>
      </c>
      <c r="D13" s="104">
        <f>D14</f>
        <v>4000000</v>
      </c>
      <c r="E13" s="99"/>
    </row>
    <row r="14" spans="1:5" ht="39">
      <c r="A14" s="101">
        <v>4</v>
      </c>
      <c r="B14" s="102" t="s">
        <v>510</v>
      </c>
      <c r="C14" s="103" t="s">
        <v>511</v>
      </c>
      <c r="D14" s="104">
        <v>4000000</v>
      </c>
      <c r="E14" s="99"/>
    </row>
    <row r="15" spans="1:5" ht="26.25">
      <c r="A15" s="101">
        <v>5</v>
      </c>
      <c r="B15" s="102" t="s">
        <v>512</v>
      </c>
      <c r="C15" s="103" t="s">
        <v>513</v>
      </c>
      <c r="D15" s="104">
        <f>D17-D16</f>
        <v>2909625.450000003</v>
      </c>
      <c r="E15" s="104"/>
    </row>
    <row r="16" spans="1:5" ht="26.25">
      <c r="A16" s="101">
        <v>6</v>
      </c>
      <c r="B16" s="105" t="s">
        <v>514</v>
      </c>
      <c r="C16" s="106" t="s">
        <v>515</v>
      </c>
      <c r="D16" s="104">
        <f>1!C62</f>
        <v>101623535.57</v>
      </c>
      <c r="E16" s="107"/>
    </row>
    <row r="17" spans="1:5" ht="26.25">
      <c r="A17" s="101">
        <v>7</v>
      </c>
      <c r="B17" s="105" t="s">
        <v>516</v>
      </c>
      <c r="C17" s="106" t="s">
        <v>517</v>
      </c>
      <c r="D17" s="104">
        <f>7!I366+9!D14</f>
        <v>104533161.02</v>
      </c>
      <c r="E17" s="107"/>
    </row>
    <row r="18" spans="1:5" ht="26.25">
      <c r="A18" s="108"/>
      <c r="B18" s="105"/>
      <c r="C18" s="109" t="s">
        <v>518</v>
      </c>
      <c r="D18" s="110">
        <f>D15+D11</f>
        <v>-1090374.549999997</v>
      </c>
      <c r="E18" s="110" t="e">
        <f>E17+#REF!-#REF!-E15-E16</f>
        <v>#REF!</v>
      </c>
    </row>
    <row r="20" ht="14.25" hidden="1">
      <c r="D20" s="111" t="e">
        <f>D16+D15-#REF!</f>
        <v>#REF!</v>
      </c>
    </row>
    <row r="21" ht="14.25" hidden="1">
      <c r="C21" s="111"/>
    </row>
    <row r="22" ht="14.25" hidden="1">
      <c r="D22" s="111" t="e">
        <f>D15+D16+#REF!-#REF!</f>
        <v>#REF!</v>
      </c>
    </row>
    <row r="23" ht="14.25" hidden="1">
      <c r="D23" s="111" t="e">
        <f>#REF!+D15+D16-#REF!-D17</f>
        <v>#REF!</v>
      </c>
    </row>
    <row r="24" ht="14.25" hidden="1">
      <c r="D24" s="111">
        <f>D17-D16</f>
        <v>2909625.450000003</v>
      </c>
    </row>
    <row r="25" ht="14.25" hidden="1"/>
    <row r="26" ht="14.25" hidden="1">
      <c r="D26" s="96">
        <v>53240296</v>
      </c>
    </row>
    <row r="27" ht="14.25" hidden="1">
      <c r="D27" s="96">
        <v>46240296</v>
      </c>
    </row>
    <row r="28" ht="14.25" hidden="1"/>
    <row r="29" ht="14.25" hidden="1"/>
    <row r="30" ht="14.25" hidden="1">
      <c r="D30" s="111" t="e">
        <f>D15-#REF!</f>
        <v>#REF!</v>
      </c>
    </row>
    <row r="31" ht="14.25" hidden="1">
      <c r="D31" s="111" t="e">
        <f>D16-D17-#REF!</f>
        <v>#REF!</v>
      </c>
    </row>
  </sheetData>
  <sheetProtection/>
  <mergeCells count="4">
    <mergeCell ref="A6:D6"/>
    <mergeCell ref="A7:D7"/>
    <mergeCell ref="A8:D8"/>
    <mergeCell ref="C2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Spec12</dc:creator>
  <cp:keywords/>
  <dc:description/>
  <cp:lastModifiedBy>WiZaRd</cp:lastModifiedBy>
  <cp:lastPrinted>2022-06-15T10:50:13Z</cp:lastPrinted>
  <dcterms:created xsi:type="dcterms:W3CDTF">2018-11-19T10:46:12Z</dcterms:created>
  <dcterms:modified xsi:type="dcterms:W3CDTF">2022-09-28T07:39:42Z</dcterms:modified>
  <cp:category/>
  <cp:version/>
  <cp:contentType/>
  <cp:contentStatus/>
</cp:coreProperties>
</file>